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codeName="{B6124F1A-AFFB-F854-7757-9A1D4C6FC43C}"/>
  <workbookPr codeName="ThisWorkbook" defaultThemeVersion="166925"/>
  <mc:AlternateContent xmlns:mc="http://schemas.openxmlformats.org/markup-compatibility/2006">
    <mc:Choice Requires="x15">
      <x15ac:absPath xmlns:x15ac="http://schemas.microsoft.com/office/spreadsheetml/2010/11/ac" url="https://liveutk-my.sharepoint.com/personal/ssmit263_utk_edu/Documents/Desktop/TCPC Grant/TCPB 2021 Grant/Bins versus Bags/"/>
    </mc:Choice>
  </mc:AlternateContent>
  <xr:revisionPtr revIDLastSave="863" documentId="8_{B54BFAD0-3F38-475D-A481-314B6DFDA3F4}" xr6:coauthVersionLast="47" xr6:coauthVersionMax="47" xr10:uidLastSave="{614EF754-2D34-4433-A703-32861C987D26}"/>
  <bookViews>
    <workbookView xWindow="-120" yWindow="-120" windowWidth="29040" windowHeight="15840" tabRatio="766" xr2:uid="{B85F7136-7EE4-48BA-8F22-0F5DBA6BAC59}"/>
  </bookViews>
  <sheets>
    <sheet name="Introduction" sheetId="11" r:id="rId1"/>
    <sheet name="Bag" sheetId="2" r:id="rId2"/>
    <sheet name="Bin" sheetId="9" r:id="rId3"/>
    <sheet name="Size" sheetId="10" state="hidden" r:id="rId4"/>
    <sheet name="10000 bu bin" sheetId="4" state="hidden" r:id="rId5"/>
    <sheet name="20000 bu bin" sheetId="5" state="hidden" r:id="rId6"/>
    <sheet name="40000 bu bin" sheetId="6" state="hidden" r:id="rId7"/>
    <sheet name="60000 bu bin" sheetId="7" state="hidden" r:id="rId8"/>
    <sheet name="80000 bu bin" sheetId="8" state="hidden" r:id="rId9"/>
    <sheet name="Bin Costs" sheetId="1" state="hidden" r:id="rId10"/>
    <sheet name="Sheet1" sheetId="3" state="hidden"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9" l="1"/>
  <c r="B29" i="2"/>
  <c r="D24" i="10"/>
  <c r="E24" i="10"/>
  <c r="F24" i="10"/>
  <c r="G24" i="10"/>
  <c r="C24" i="10"/>
  <c r="Q6" i="9"/>
  <c r="R5" i="9"/>
  <c r="L5" i="9"/>
  <c r="O4" i="9" s="1"/>
  <c r="L4" i="9"/>
  <c r="P3" i="9" s="1"/>
  <c r="I17" i="10"/>
  <c r="I3" i="10"/>
  <c r="P5" i="9" l="1"/>
  <c r="Q5" i="9"/>
  <c r="O5" i="9"/>
  <c r="O3" i="9"/>
  <c r="Q4" i="9"/>
  <c r="P4" i="9"/>
  <c r="Q3" i="9"/>
  <c r="Q7" i="9" s="1"/>
  <c r="F32" i="9" s="1"/>
  <c r="D27" i="9"/>
  <c r="F26" i="9"/>
  <c r="G12" i="9" l="1"/>
  <c r="D17" i="5"/>
  <c r="D16" i="5"/>
  <c r="R7" i="9"/>
  <c r="B8" i="9"/>
  <c r="F34" i="9" s="1"/>
  <c r="G34" i="9" s="1"/>
  <c r="B24" i="9" l="1"/>
  <c r="F24" i="9" s="1"/>
  <c r="G38" i="2"/>
  <c r="G37" i="2"/>
  <c r="G36" i="2"/>
  <c r="G29" i="2"/>
  <c r="G26" i="2"/>
  <c r="N7" i="2"/>
  <c r="N6" i="2"/>
  <c r="N5" i="2"/>
  <c r="N4" i="2"/>
  <c r="M7" i="2"/>
  <c r="M6" i="2"/>
  <c r="M5" i="2"/>
  <c r="M4" i="2"/>
  <c r="L7" i="2"/>
  <c r="L6" i="2"/>
  <c r="L5" i="2"/>
  <c r="L4" i="2"/>
  <c r="B6" i="2"/>
  <c r="B11" i="2" s="1"/>
  <c r="G24" i="2" l="1"/>
  <c r="G32" i="2"/>
  <c r="G31" i="2"/>
  <c r="O6" i="2"/>
  <c r="O7" i="2" s="1"/>
  <c r="G25" i="2"/>
  <c r="G30" i="2"/>
  <c r="G39" i="2"/>
  <c r="H39" i="2" s="1"/>
  <c r="H38" i="2"/>
  <c r="E25" i="2"/>
  <c r="E24" i="2"/>
  <c r="I27" i="10" l="1"/>
  <c r="I26" i="10"/>
  <c r="I25" i="10"/>
  <c r="I24" i="10"/>
  <c r="I23" i="10"/>
  <c r="I22" i="10"/>
  <c r="I21" i="10"/>
  <c r="I19" i="10"/>
  <c r="I18" i="10"/>
  <c r="I15" i="10"/>
  <c r="I14" i="10"/>
  <c r="I13" i="10"/>
  <c r="I10" i="10"/>
  <c r="I9" i="10"/>
  <c r="I8" i="10"/>
  <c r="I7" i="10"/>
  <c r="I6" i="10"/>
  <c r="I5" i="10"/>
  <c r="I4" i="10"/>
  <c r="C11" i="10" l="1"/>
  <c r="D11" i="10"/>
  <c r="E23" i="2" l="1"/>
  <c r="G12" i="10" l="1"/>
  <c r="I12" i="10" s="1"/>
  <c r="D12" i="10"/>
  <c r="C12" i="10"/>
  <c r="G11" i="10"/>
  <c r="I11" i="10" s="1"/>
  <c r="F11" i="10"/>
  <c r="F16" i="10" s="1"/>
  <c r="F20" i="10" s="1"/>
  <c r="E11" i="10"/>
  <c r="E16" i="10" s="1"/>
  <c r="E20" i="10" l="1"/>
  <c r="I16" i="10"/>
  <c r="D16" i="10"/>
  <c r="D20" i="10" s="1"/>
  <c r="G16" i="10"/>
  <c r="G20" i="10" s="1"/>
  <c r="C16" i="10"/>
  <c r="I20" i="10" l="1"/>
  <c r="F30" i="7"/>
  <c r="F29" i="7"/>
  <c r="F30" i="6"/>
  <c r="F29" i="6"/>
  <c r="F30" i="5"/>
  <c r="F29" i="5"/>
  <c r="F29" i="4"/>
  <c r="F30" i="4"/>
  <c r="F27" i="9" l="1"/>
  <c r="D22" i="4"/>
  <c r="D16" i="4"/>
  <c r="C28" i="4" s="1"/>
  <c r="F28" i="4" s="1"/>
  <c r="F25" i="9"/>
  <c r="D22" i="9"/>
  <c r="F22" i="9" s="1"/>
  <c r="D21" i="9"/>
  <c r="F21" i="9" s="1"/>
  <c r="G17" i="9" l="1"/>
  <c r="E31" i="2"/>
  <c r="J7" i="9" l="1"/>
  <c r="B9" i="9"/>
  <c r="O6" i="9" l="1"/>
  <c r="O7" i="9" s="1"/>
  <c r="F31" i="9" s="1"/>
  <c r="F33" i="9" s="1"/>
  <c r="P6" i="9" l="1"/>
  <c r="P7" i="9" s="1"/>
  <c r="B23" i="9" s="1"/>
  <c r="F23" i="9" s="1"/>
  <c r="G33" i="9"/>
  <c r="B26" i="2"/>
  <c r="F28" i="9" l="1"/>
  <c r="F29" i="9" s="1"/>
  <c r="E4" i="7"/>
  <c r="E3" i="7"/>
  <c r="C2" i="7"/>
  <c r="E2" i="7" s="1"/>
  <c r="E4" i="6"/>
  <c r="E3" i="6"/>
  <c r="E2" i="6"/>
  <c r="E4" i="5"/>
  <c r="E3" i="5"/>
  <c r="E2" i="5"/>
  <c r="E2" i="4"/>
  <c r="E3" i="8"/>
  <c r="E4" i="8"/>
  <c r="E2" i="8"/>
  <c r="D16" i="8"/>
  <c r="C28" i="8" s="1"/>
  <c r="F28" i="8" s="1"/>
  <c r="D16" i="7"/>
  <c r="C28" i="7" s="1"/>
  <c r="F28" i="7" s="1"/>
  <c r="D16" i="6"/>
  <c r="C28" i="6" s="1"/>
  <c r="F28" i="6" s="1"/>
  <c r="C28" i="5"/>
  <c r="F28" i="5" s="1"/>
  <c r="D17" i="8"/>
  <c r="D22" i="7"/>
  <c r="D25" i="7" s="1"/>
  <c r="D22" i="6"/>
  <c r="D22" i="5"/>
  <c r="D17" i="4"/>
  <c r="D25" i="4" s="1"/>
  <c r="K2" i="3"/>
  <c r="H2" i="3"/>
  <c r="B2" i="3"/>
  <c r="G29" i="9" l="1"/>
  <c r="F35" i="9"/>
  <c r="G35" i="9" s="1"/>
  <c r="D25" i="5"/>
  <c r="D25" i="6"/>
  <c r="D25" i="8"/>
  <c r="B27" i="2" l="1"/>
  <c r="G27" i="2" s="1"/>
  <c r="B22" i="2"/>
  <c r="G22" i="2" s="1"/>
  <c r="B23" i="2"/>
  <c r="G23" i="2" s="1"/>
  <c r="B32" i="2"/>
  <c r="B28" i="2"/>
  <c r="G28" i="2" s="1"/>
  <c r="G33" i="2" l="1"/>
  <c r="G34" i="2" s="1"/>
  <c r="H34" i="2" l="1"/>
  <c r="G40" i="2"/>
  <c r="H40" i="2" s="1"/>
</calcChain>
</file>

<file path=xl/sharedStrings.xml><?xml version="1.0" encoding="utf-8"?>
<sst xmlns="http://schemas.openxmlformats.org/spreadsheetml/2006/main" count="626" uniqueCount="273">
  <si>
    <t>Variable Costs</t>
  </si>
  <si>
    <t>Unit</t>
  </si>
  <si>
    <t>Number of people</t>
  </si>
  <si>
    <t>Total Cost</t>
  </si>
  <si>
    <t>Shrinkage</t>
  </si>
  <si>
    <t>Number of Bushels Stored</t>
  </si>
  <si>
    <t>Spoilage</t>
  </si>
  <si>
    <t>Handling Loss</t>
  </si>
  <si>
    <t>Insecticides</t>
  </si>
  <si>
    <t>Repairs</t>
  </si>
  <si>
    <t>Bag Sealing</t>
  </si>
  <si>
    <t>Total Variable Costs</t>
  </si>
  <si>
    <t>Machinery Costs</t>
  </si>
  <si>
    <t>Transportation</t>
  </si>
  <si>
    <t>Total Machinery Costs</t>
  </si>
  <si>
    <t>Fixed Costs</t>
  </si>
  <si>
    <t>Intial Cost</t>
  </si>
  <si>
    <t>Salvage Value</t>
  </si>
  <si>
    <t>Useful Life</t>
  </si>
  <si>
    <t>Depreciation/Year</t>
  </si>
  <si>
    <t>Total Fixed Cost</t>
  </si>
  <si>
    <t>Variable Cost</t>
  </si>
  <si>
    <t>Hours</t>
  </si>
  <si>
    <t>Cost/Hour</t>
  </si>
  <si>
    <t>Tractor</t>
  </si>
  <si>
    <t>Storage</t>
  </si>
  <si>
    <t>Level</t>
  </si>
  <si>
    <t>bu</t>
  </si>
  <si>
    <t>Labor/Year</t>
  </si>
  <si>
    <t>Peaked</t>
  </si>
  <si>
    <t>Shrinkage/Spoilage</t>
  </si>
  <si>
    <t>Bin Costs</t>
  </si>
  <si>
    <t>Bin</t>
  </si>
  <si>
    <t>Floor</t>
  </si>
  <si>
    <t>Fan</t>
  </si>
  <si>
    <t>Sweep Auger</t>
  </si>
  <si>
    <t>Additional Options</t>
  </si>
  <si>
    <t>Labor</t>
  </si>
  <si>
    <t>Freight</t>
  </si>
  <si>
    <t>Discount</t>
  </si>
  <si>
    <t>40 per cubic yard for gravel</t>
  </si>
  <si>
    <t>Bin Total</t>
  </si>
  <si>
    <t>Concrete</t>
  </si>
  <si>
    <t>Gravel</t>
  </si>
  <si>
    <t>Site Prep</t>
  </si>
  <si>
    <t>Eletrical</t>
  </si>
  <si>
    <t>Depreciation/year</t>
  </si>
  <si>
    <t>Interest/year</t>
  </si>
  <si>
    <t>Insurance/year</t>
  </si>
  <si>
    <t>Taxes/year</t>
  </si>
  <si>
    <t xml:space="preserve">Depreciation </t>
  </si>
  <si>
    <t>Auger</t>
  </si>
  <si>
    <t>Insurance</t>
  </si>
  <si>
    <t>Taxes</t>
  </si>
  <si>
    <t>Bin Cost</t>
  </si>
  <si>
    <t>Tractor/year</t>
  </si>
  <si>
    <t>Shrinkage/ Spoilage</t>
  </si>
  <si>
    <t>Interest/Year</t>
  </si>
  <si>
    <t>Grain Bin Cost</t>
  </si>
  <si>
    <t>Depreciation</t>
  </si>
  <si>
    <t>Interest</t>
  </si>
  <si>
    <t>https://www.dtnpf.com/agriculture/web/ag/news/business-inputs/article/2021/05/04/farm-credit-rates</t>
  </si>
  <si>
    <t>Load Out Bin</t>
  </si>
  <si>
    <t>https://configure.deere.com/cbyo/#/en_us/configure/117649354</t>
  </si>
  <si>
    <t>Johndeere 6130m</t>
  </si>
  <si>
    <t>Grain Dryer</t>
  </si>
  <si>
    <t>Leg</t>
  </si>
  <si>
    <t>Pit</t>
  </si>
  <si>
    <t>rough estimate from tractor house on new 19 1080hp brandt</t>
  </si>
  <si>
    <t>using 2 20 hp gsi fans</t>
  </si>
  <si>
    <t xml:space="preserve"> </t>
  </si>
  <si>
    <t>Load Out Auger</t>
  </si>
  <si>
    <t>kentucky number</t>
  </si>
  <si>
    <t>Eletricty</t>
  </si>
  <si>
    <t>for 2 20 hp fan rough estimate found on thread needs to be confirmed</t>
  </si>
  <si>
    <t>Propane/Natural Gas</t>
  </si>
  <si>
    <t>Labor/hour</t>
  </si>
  <si>
    <t>https://www.bls.gov/oes/current/oes452091.htm</t>
  </si>
  <si>
    <t xml:space="preserve">concerete </t>
  </si>
  <si>
    <t>concrete</t>
  </si>
  <si>
    <t>cocrete</t>
  </si>
  <si>
    <t>Bag Size</t>
  </si>
  <si>
    <t># of Bags</t>
  </si>
  <si>
    <t>Estimated Yield</t>
  </si>
  <si>
    <t>bu/acre</t>
  </si>
  <si>
    <t>acres</t>
  </si>
  <si>
    <t xml:space="preserve">bu </t>
  </si>
  <si>
    <t>Value</t>
  </si>
  <si>
    <t>Labor Rate</t>
  </si>
  <si>
    <t>$/hr</t>
  </si>
  <si>
    <t>%</t>
  </si>
  <si>
    <t>Estimated Shrinkage/Spoilage</t>
  </si>
  <si>
    <t>Cost per unit</t>
  </si>
  <si>
    <t>-</t>
  </si>
  <si>
    <t>bags</t>
  </si>
  <si>
    <t>Estimated Production</t>
  </si>
  <si>
    <t>Loader</t>
  </si>
  <si>
    <t>Unloader</t>
  </si>
  <si>
    <t>Useful Life (years)</t>
  </si>
  <si>
    <t>Bag Weight</t>
  </si>
  <si>
    <t>lbs</t>
  </si>
  <si>
    <t>Purchase Price ($)</t>
  </si>
  <si>
    <t>Salvage Value ($)</t>
  </si>
  <si>
    <t>Repairs and Maintanance ($/Year)</t>
  </si>
  <si>
    <t>Taxes, Insurance, and Housing ($/Year)</t>
  </si>
  <si>
    <t>Fuel &amp; Lubrication</t>
  </si>
  <si>
    <t>Diesel Price</t>
  </si>
  <si>
    <t>$/gallon</t>
  </si>
  <si>
    <t>$</t>
  </si>
  <si>
    <t>Ownership Costs</t>
  </si>
  <si>
    <t>Total Ownership Costs</t>
  </si>
  <si>
    <t>Operating Costs</t>
  </si>
  <si>
    <t>Total Operating Costs</t>
  </si>
  <si>
    <t>Acres</t>
  </si>
  <si>
    <t>$/bag</t>
  </si>
  <si>
    <t>Capital Recovery ($/Year)</t>
  </si>
  <si>
    <t>Capital Recovery (Depreciation + Interest)</t>
  </si>
  <si>
    <t>Taxes, Insurance, &amp; Housing</t>
  </si>
  <si>
    <t>Estimated Price</t>
  </si>
  <si>
    <t>$/bu</t>
  </si>
  <si>
    <t>Tractor PTO HP</t>
  </si>
  <si>
    <t>Shrink/Storage Loss</t>
  </si>
  <si>
    <t>Grain Bag Storage Estimate</t>
  </si>
  <si>
    <t>Interest Rate (Operating)</t>
  </si>
  <si>
    <t>Interest Rate (Fixed)</t>
  </si>
  <si>
    <t>Operating + Ownership + Shrink/Storage Loss Costs</t>
  </si>
  <si>
    <t xml:space="preserve">Machinery </t>
  </si>
  <si>
    <t>Footnotes:</t>
  </si>
  <si>
    <t>% of purchase price</t>
  </si>
  <si>
    <t>Operating Interest</t>
  </si>
  <si>
    <t>Labor Loading per Bag</t>
  </si>
  <si>
    <t>Labor Unloading per Bag</t>
  </si>
  <si>
    <t>Bag Disposal/Ton</t>
  </si>
  <si>
    <t>Share of Tractor Annual Use</t>
  </si>
  <si>
    <t>Bag</t>
  </si>
  <si>
    <t>Bag Price</t>
  </si>
  <si>
    <t>hrs/bag</t>
  </si>
  <si>
    <t>Machinery Fuel &amp; Lubrication</t>
  </si>
  <si>
    <t># (rounded up)</t>
  </si>
  <si>
    <t># per bag</t>
  </si>
  <si>
    <t>$/ton</t>
  </si>
  <si>
    <t>Cell B7</t>
  </si>
  <si>
    <t xml:space="preserve">Cell  </t>
  </si>
  <si>
    <t>Explanation</t>
  </si>
  <si>
    <t>ASABE Agricultural Machinery Management</t>
  </si>
  <si>
    <t>Iowa State https://www.extension.iastate.edu/agdm/crops/html/a3-29.html</t>
  </si>
  <si>
    <t>Labor - Bag Repair and Monitoring</t>
  </si>
  <si>
    <t>Cell B8&amp;9&amp;10</t>
  </si>
  <si>
    <t>Cell B12</t>
  </si>
  <si>
    <t>Cell B13</t>
  </si>
  <si>
    <t>Cell B14</t>
  </si>
  <si>
    <t>Cell B15</t>
  </si>
  <si>
    <t>Cell B16</t>
  </si>
  <si>
    <t>Cell B17</t>
  </si>
  <si>
    <t>Cell B18</t>
  </si>
  <si>
    <t>Sensors</t>
  </si>
  <si>
    <t>$/Sensor</t>
  </si>
  <si>
    <t>Cell F9</t>
  </si>
  <si>
    <t>Estimated percent of yearly tractor usage to bag and unload grain.</t>
  </si>
  <si>
    <t>MSRP for loftness 10 ft bag unloader.</t>
  </si>
  <si>
    <t>MSRP for loftness 10 ft xl bagger.</t>
  </si>
  <si>
    <t>Estimated loss and spoilage for placing grain in a bag.</t>
  </si>
  <si>
    <t>Cell E22</t>
  </si>
  <si>
    <t>Cost to knock down stalks with grain cart.</t>
  </si>
  <si>
    <t>Cell B26</t>
  </si>
  <si>
    <t>Cell B27</t>
  </si>
  <si>
    <t>Estimated cost according to ASABE (Agricultural Machinery Management).</t>
  </si>
  <si>
    <t>Cell G37</t>
  </si>
  <si>
    <t>Cell G38</t>
  </si>
  <si>
    <t>kk</t>
  </si>
  <si>
    <t>Bin Price</t>
  </si>
  <si>
    <t>$/bin</t>
  </si>
  <si>
    <t>Labor Loading</t>
  </si>
  <si>
    <t>Labor Unloading</t>
  </si>
  <si>
    <t>Labor - Bin Repair and Monitoring</t>
  </si>
  <si>
    <t>bin</t>
  </si>
  <si>
    <t>hrs/bin</t>
  </si>
  <si>
    <t># per bin</t>
  </si>
  <si>
    <t>Cell B9</t>
  </si>
  <si>
    <t>Cell B10</t>
  </si>
  <si>
    <t>Cell B11</t>
  </si>
  <si>
    <t>Estimated loss and spoilage for placing grain in a bin.</t>
  </si>
  <si>
    <t>Estimated price for the fan(s) for bin.</t>
  </si>
  <si>
    <t xml:space="preserve">Estimated price for sweep auger. </t>
  </si>
  <si>
    <t xml:space="preserve">Estimated price for stairs/ladders, doors and other accessories. </t>
  </si>
  <si>
    <t>Cell G13</t>
  </si>
  <si>
    <t>Cell G15</t>
  </si>
  <si>
    <t>Estimated cost for gravel to place a 3 foot radius around bin 3 inches deep.</t>
  </si>
  <si>
    <t>Estimated cost of supplies and labor.</t>
  </si>
  <si>
    <t>Total:</t>
  </si>
  <si>
    <t>Fill Auger</t>
  </si>
  <si>
    <t>Truck Auger</t>
  </si>
  <si>
    <t>Tractor Auger</t>
  </si>
  <si>
    <t>Cell J4</t>
  </si>
  <si>
    <t>Cell J5</t>
  </si>
  <si>
    <t>Cell J6</t>
  </si>
  <si>
    <t>$/sensor</t>
  </si>
  <si>
    <t>Price</t>
  </si>
  <si>
    <t>Bin (Tank)</t>
  </si>
  <si>
    <t>Select Bin Size</t>
  </si>
  <si>
    <t>Bin Size</t>
  </si>
  <si>
    <t>Labor Bin Repair/monitor</t>
  </si>
  <si>
    <t>Capacity</t>
  </si>
  <si>
    <t>Machinery PP</t>
  </si>
  <si>
    <t>Other</t>
  </si>
  <si>
    <t>Average fixed operation loan according to Federal Reserve Bank of St. Louis- Eighth Federal Reserve District Survey.</t>
  </si>
  <si>
    <t>Average fixed intermediate loan according to Federal Reserve Bank of St. Louis- Eighth Federal Reserve District Survey.</t>
  </si>
  <si>
    <t>Estimated cost for concrete for bin.</t>
  </si>
  <si>
    <t>Repairs and Maintenance ($/Year)</t>
  </si>
  <si>
    <t>Machinery - Repair and Maintenance</t>
  </si>
  <si>
    <t>Bin - Repair and Maintenance</t>
  </si>
  <si>
    <t>Electrical</t>
  </si>
  <si>
    <t>Quantity</t>
  </si>
  <si>
    <t>Site Preparation</t>
  </si>
  <si>
    <t>Repair &amp; Maintenance</t>
  </si>
  <si>
    <t>Version 1.0 2021</t>
  </si>
  <si>
    <t>The University of Tennessee is an EEO/AA/Title VI/Title IX/Section 504/ADA/ADEA institution in the provision of its education and employment programs and services. All qualified applicants will receive equal consideration for employment and admission without regard to race, color, national origin, religion, sex, pregnancy, marital status, sexual orientation, gender identity, age, physical or mental disability, genetic information, veteran status, and parental status.</t>
  </si>
  <si>
    <t>Office: (865) 974-7476     Email: aaron.smith@utk.edu</t>
  </si>
  <si>
    <t>Aaron Smith, Associate Professor - Crop Marketing Specialist</t>
  </si>
  <si>
    <t>Christopher R Narayanan, Extension Area Specialist III</t>
  </si>
  <si>
    <t>Hence Duncan, UT Extension Intern 2021</t>
  </si>
  <si>
    <t>Repair and Maintenance</t>
  </si>
  <si>
    <t>Taxes, Insurance, and Housing</t>
  </si>
  <si>
    <t>Estimated Shrinkage/Storage Loss</t>
  </si>
  <si>
    <t>Grain Bin Storage Estimate</t>
  </si>
  <si>
    <t>Site Maintenance</t>
  </si>
  <si>
    <t>Charles Martinez, Assistant Professor</t>
  </si>
  <si>
    <t>Grain Bag and Bin Storage</t>
  </si>
  <si>
    <t>Average fixed intermediate loan according to Federal Reserve Bank of Kansas City – National Survey of Terms of Lending to Farmers.</t>
  </si>
  <si>
    <t>Average fixed operation loan according to Federal Reserve Bank of Kansas City – National Survey of Terms of Lending to Farmers.</t>
  </si>
  <si>
    <t>Average gallon price of farm diesel delivered.</t>
  </si>
  <si>
    <t>Average hourly wage for support activities for crop production.</t>
  </si>
  <si>
    <t>Machinery Repair &amp; Maintenance</t>
  </si>
  <si>
    <t>Table 1. Assumptions</t>
  </si>
  <si>
    <t>Table 3. Estimated Costs</t>
  </si>
  <si>
    <t>Office: (865) 974-7476     Email: cmart113@utk.edu</t>
  </si>
  <si>
    <t xml:space="preserve">Current estimated harvest price for corn. </t>
  </si>
  <si>
    <t>Estimated tractor price</t>
  </si>
  <si>
    <t>Cell F4</t>
  </si>
  <si>
    <t>Cell F5</t>
  </si>
  <si>
    <t>Cell F6</t>
  </si>
  <si>
    <t>Cell G9</t>
  </si>
  <si>
    <t>lb</t>
  </si>
  <si>
    <t>$/lb</t>
  </si>
  <si>
    <t>Table 6. Construction Costs</t>
  </si>
  <si>
    <t>Table 4. Assumptions</t>
  </si>
  <si>
    <t>Table 5. Construction Costs</t>
  </si>
  <si>
    <t>Table 7. Estimated Costs</t>
  </si>
  <si>
    <t>Bushels</t>
  </si>
  <si>
    <t>Estimated price for bin</t>
  </si>
  <si>
    <t>Estimated price</t>
  </si>
  <si>
    <t>Cell F7</t>
  </si>
  <si>
    <t>Cell F8</t>
  </si>
  <si>
    <t>Cell F10</t>
  </si>
  <si>
    <t>Estimated price for just the bin tank.</t>
  </si>
  <si>
    <t>Estimated price for grain bin floor.</t>
  </si>
  <si>
    <t>Estimated price for grain bin labor.</t>
  </si>
  <si>
    <t>Cell F11</t>
  </si>
  <si>
    <t>Estimated bin cost from G17.</t>
  </si>
  <si>
    <t>Estimated discount off book quote price for cells F4-F10.</t>
  </si>
  <si>
    <t>Estimated truck auger purchase price.</t>
  </si>
  <si>
    <t>Estimated fill auger purchase price.</t>
  </si>
  <si>
    <t>Cell K10</t>
  </si>
  <si>
    <t>Cell G14</t>
  </si>
  <si>
    <t>Cell B23</t>
  </si>
  <si>
    <t>Cell B24</t>
  </si>
  <si>
    <t>Cell G31</t>
  </si>
  <si>
    <t>Cell G32</t>
  </si>
  <si>
    <t>Estimated cost according to Iowa State.  https://www.extension.iastate.edu/agdm/crops/html/a3-29.html</t>
  </si>
  <si>
    <t>Estimated freight.</t>
  </si>
  <si>
    <t>Table 2. Machinery Assumptions</t>
  </si>
  <si>
    <t>Bag dimensions 10' x 325'.</t>
  </si>
  <si>
    <t>This project is supported by Tennessee Corn Promotion Board Grant, Award Number R124110176 and USDA/NIFA under Award Number 2018-70027-28585.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</si>
</sst>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0000"/>
    <numFmt numFmtId="166" formatCode="0.0%"/>
    <numFmt numFmtId="167" formatCode="&quot;$&quot;#,##0"/>
    <numFmt numFmtId="168" formatCode="_(* #,##0_);_(* \(#,##0\);_(* &quot;-&quot;??_);_(@_)"/>
    <numFmt numFmtId="169" formatCode="&quot;$&quot;#,##0.000"/>
    <numFmt numFmtId="171" formatCode="#,##0.000"/>
  </numFmts>
  <fonts count="21" x14ac:knownFonts="1">
    <font>
      <sz val="11"/>
      <color theme="1"/>
      <name val="Calibri"/>
      <family val="2"/>
      <scheme val="minor"/>
    </font>
    <font>
      <b/>
      <u/>
      <sz val="11"/>
      <color theme="1"/>
      <name val="Calibri"/>
      <family val="2"/>
      <scheme val="minor"/>
    </font>
    <font>
      <b/>
      <u/>
      <sz val="16"/>
      <color theme="1"/>
      <name val="Calibri"/>
      <family val="2"/>
      <scheme val="minor"/>
    </font>
    <font>
      <sz val="20"/>
      <color theme="1"/>
      <name val="Times New Roman"/>
      <family val="1"/>
    </font>
    <font>
      <u/>
      <sz val="11"/>
      <color theme="10"/>
      <name val="Calibri"/>
      <family val="2"/>
      <scheme val="minor"/>
    </font>
    <font>
      <sz val="11"/>
      <color rgb="FF000000"/>
      <name val="Calibri"/>
      <family val="2"/>
    </font>
    <font>
      <b/>
      <u/>
      <sz val="16"/>
      <color rgb="FF000000"/>
      <name val="Calibri"/>
      <family val="2"/>
    </font>
    <font>
      <b/>
      <u/>
      <sz val="11"/>
      <color rgb="FF000000"/>
      <name val="Calibri"/>
      <family val="2"/>
    </font>
    <font>
      <b/>
      <u/>
      <sz val="12"/>
      <color rgb="FF000000"/>
      <name val="Calibri"/>
      <family val="2"/>
    </font>
    <font>
      <sz val="11"/>
      <color theme="1"/>
      <name val="Calibri"/>
      <family val="2"/>
      <scheme val="minor"/>
    </font>
    <font>
      <b/>
      <u/>
      <sz val="24"/>
      <color theme="1"/>
      <name val="Calibri"/>
      <family val="2"/>
      <scheme val="minor"/>
    </font>
    <font>
      <b/>
      <u/>
      <sz val="14"/>
      <color theme="1"/>
      <name val="Calibri"/>
      <family val="2"/>
      <scheme val="minor"/>
    </font>
    <font>
      <sz val="14"/>
      <color theme="1"/>
      <name val="Calibri"/>
      <family val="2"/>
      <scheme val="minor"/>
    </font>
    <font>
      <sz val="11"/>
      <color rgb="FFFF0000"/>
      <name val="Calibri"/>
      <family val="2"/>
      <scheme val="minor"/>
    </font>
    <font>
      <b/>
      <sz val="11"/>
      <color theme="1"/>
      <name val="Calibri"/>
      <family val="2"/>
      <scheme val="minor"/>
    </font>
    <font>
      <b/>
      <sz val="18"/>
      <color indexed="8"/>
      <name val="Calibri"/>
      <family val="2"/>
    </font>
    <font>
      <b/>
      <sz val="14"/>
      <color indexed="8"/>
      <name val="Calibri"/>
      <family val="2"/>
    </font>
    <font>
      <sz val="14"/>
      <color indexed="8"/>
      <name val="Calibri"/>
      <family val="2"/>
    </font>
    <font>
      <sz val="11"/>
      <color indexed="8"/>
      <name val="Calibri"/>
      <family val="2"/>
    </font>
    <font>
      <sz val="8"/>
      <color indexed="8"/>
      <name val="Calibri"/>
      <family val="2"/>
    </font>
    <font>
      <b/>
      <sz val="14"/>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7"/>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4" fillId="0" borderId="0" applyNumberForma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cellStyleXfs>
  <cellXfs count="148">
    <xf numFmtId="0" fontId="0" fillId="0" borderId="0" xfId="0"/>
    <xf numFmtId="0" fontId="1" fillId="0" borderId="0" xfId="0" applyFont="1"/>
    <xf numFmtId="8" fontId="0" fillId="0" borderId="0" xfId="0" applyNumberFormat="1"/>
    <xf numFmtId="0" fontId="4" fillId="0" borderId="0" xfId="1"/>
    <xf numFmtId="164" fontId="0" fillId="0" borderId="0" xfId="0" applyNumberFormat="1"/>
    <xf numFmtId="8" fontId="5" fillId="0" borderId="0" xfId="0" applyNumberFormat="1" applyFont="1" applyFill="1" applyBorder="1" applyAlignment="1">
      <alignment wrapText="1"/>
    </xf>
    <xf numFmtId="165" fontId="0" fillId="0" borderId="0" xfId="0" applyNumberFormat="1"/>
    <xf numFmtId="0" fontId="0" fillId="0" borderId="0" xfId="0" applyNumberFormat="1"/>
    <xf numFmtId="0" fontId="5" fillId="0" borderId="0" xfId="0" applyNumberFormat="1" applyFont="1" applyFill="1" applyBorder="1" applyAlignment="1">
      <alignment wrapText="1"/>
    </xf>
    <xf numFmtId="0" fontId="8" fillId="0" borderId="0" xfId="0" applyFont="1" applyFill="1" applyBorder="1" applyAlignment="1">
      <alignment horizontal="center" wrapText="1"/>
    </xf>
    <xf numFmtId="164" fontId="5" fillId="0" borderId="0" xfId="0" applyNumberFormat="1" applyFont="1" applyFill="1" applyBorder="1" applyAlignment="1">
      <alignment wrapText="1"/>
    </xf>
    <xf numFmtId="0" fontId="8" fillId="0" borderId="0" xfId="0" applyFont="1" applyFill="1" applyBorder="1" applyAlignment="1">
      <alignment wrapText="1"/>
    </xf>
    <xf numFmtId="0" fontId="0" fillId="0" borderId="0" xfId="0" applyAlignment="1">
      <alignment horizontal="center"/>
    </xf>
    <xf numFmtId="0" fontId="5" fillId="0" borderId="0" xfId="0" applyFont="1" applyFill="1" applyBorder="1" applyAlignment="1">
      <alignment wrapText="1"/>
    </xf>
    <xf numFmtId="0" fontId="6" fillId="0" borderId="0" xfId="0" applyFont="1" applyFill="1" applyBorder="1" applyAlignment="1">
      <alignment wrapText="1"/>
    </xf>
    <xf numFmtId="0" fontId="1" fillId="0" borderId="0" xfId="0" applyFont="1" applyAlignment="1">
      <alignment horizontal="center"/>
    </xf>
    <xf numFmtId="0" fontId="1" fillId="0" borderId="0" xfId="0" applyFont="1" applyAlignment="1">
      <alignment horizontal="center"/>
    </xf>
    <xf numFmtId="0" fontId="1" fillId="0" borderId="0" xfId="0" applyFont="1" applyAlignment="1"/>
    <xf numFmtId="0" fontId="0" fillId="0" borderId="0" xfId="0" applyFont="1" applyAlignment="1"/>
    <xf numFmtId="0" fontId="0" fillId="0" borderId="0" xfId="0" applyFont="1"/>
    <xf numFmtId="0" fontId="0" fillId="2" borderId="1" xfId="0" applyFont="1" applyFill="1" applyBorder="1" applyAlignment="1">
      <alignment horizontal="center"/>
    </xf>
    <xf numFmtId="0" fontId="0" fillId="0" borderId="0" xfId="0" applyFont="1" applyAlignment="1">
      <alignment horizontal="center"/>
    </xf>
    <xf numFmtId="3" fontId="0" fillId="0" borderId="1" xfId="0" applyNumberFormat="1" applyFont="1" applyBorder="1" applyAlignment="1">
      <alignment horizontal="center"/>
    </xf>
    <xf numFmtId="3" fontId="0" fillId="2" borderId="1" xfId="0" applyNumberFormat="1" applyFont="1" applyFill="1" applyBorder="1" applyAlignment="1">
      <alignment horizontal="center"/>
    </xf>
    <xf numFmtId="0" fontId="0" fillId="0" borderId="1" xfId="0" applyFont="1" applyBorder="1" applyAlignment="1">
      <alignment horizontal="center"/>
    </xf>
    <xf numFmtId="164" fontId="0" fillId="0" borderId="0" xfId="0" applyNumberFormat="1" applyFont="1" applyAlignment="1">
      <alignment horizontal="center"/>
    </xf>
    <xf numFmtId="164" fontId="0" fillId="0" borderId="0" xfId="0" applyNumberFormat="1" applyFont="1"/>
    <xf numFmtId="0" fontId="0" fillId="0" borderId="0" xfId="0" applyFont="1" applyFill="1" applyBorder="1"/>
    <xf numFmtId="167" fontId="0" fillId="0" borderId="0" xfId="0" applyNumberFormat="1" applyFont="1" applyAlignment="1">
      <alignment horizontal="center"/>
    </xf>
    <xf numFmtId="8" fontId="0" fillId="2" borderId="1" xfId="0" applyNumberFormat="1" applyFont="1" applyFill="1" applyBorder="1" applyAlignment="1">
      <alignment horizontal="center"/>
    </xf>
    <xf numFmtId="166" fontId="0" fillId="2" borderId="1" xfId="2" applyNumberFormat="1" applyFont="1"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5" fillId="0" borderId="0" xfId="0" applyFont="1" applyFill="1" applyBorder="1" applyAlignment="1">
      <alignment wrapText="1"/>
    </xf>
    <xf numFmtId="0" fontId="7" fillId="0" borderId="0" xfId="0" applyFont="1" applyFill="1" applyBorder="1" applyAlignment="1">
      <alignment wrapText="1"/>
    </xf>
    <xf numFmtId="0" fontId="1" fillId="0" borderId="0" xfId="0" applyFont="1" applyAlignment="1">
      <alignment horizontal="center"/>
    </xf>
    <xf numFmtId="0" fontId="0" fillId="0" borderId="0" xfId="0" applyFont="1" applyFill="1" applyBorder="1" applyAlignment="1"/>
    <xf numFmtId="0" fontId="0" fillId="0" borderId="1" xfId="0" applyFont="1" applyFill="1" applyBorder="1" applyAlignment="1">
      <alignment horizontal="center"/>
    </xf>
    <xf numFmtId="167" fontId="0" fillId="0" borderId="1" xfId="0" applyNumberFormat="1" applyFont="1" applyFill="1" applyBorder="1" applyAlignment="1">
      <alignment horizontal="center"/>
    </xf>
    <xf numFmtId="167" fontId="0" fillId="0" borderId="0" xfId="0" applyNumberFormat="1" applyFont="1"/>
    <xf numFmtId="167" fontId="0" fillId="2" borderId="1" xfId="0" applyNumberFormat="1" applyFont="1" applyFill="1" applyBorder="1" applyAlignment="1">
      <alignment horizontal="center"/>
    </xf>
    <xf numFmtId="167" fontId="1" fillId="0" borderId="0" xfId="0" applyNumberFormat="1" applyFont="1" applyAlignment="1">
      <alignment horizontal="center"/>
    </xf>
    <xf numFmtId="0" fontId="0" fillId="0" borderId="1" xfId="0" quotePrefix="1" applyFont="1" applyFill="1" applyBorder="1" applyAlignment="1">
      <alignment horizontal="center"/>
    </xf>
    <xf numFmtId="164" fontId="0" fillId="0" borderId="1" xfId="0" applyNumberFormat="1" applyFont="1" applyBorder="1" applyAlignment="1">
      <alignment horizontal="center"/>
    </xf>
    <xf numFmtId="164" fontId="0" fillId="2" borderId="1" xfId="0" applyNumberFormat="1" applyFont="1" applyFill="1" applyBorder="1" applyAlignment="1">
      <alignment horizontal="center"/>
    </xf>
    <xf numFmtId="166" fontId="0" fillId="0" borderId="0" xfId="2" applyNumberFormat="1" applyFont="1" applyFill="1" applyBorder="1" applyAlignment="1">
      <alignment horizontal="center"/>
    </xf>
    <xf numFmtId="7" fontId="0" fillId="2" borderId="1" xfId="0" applyNumberFormat="1" applyFont="1" applyFill="1" applyBorder="1" applyAlignment="1">
      <alignment horizontal="center"/>
    </xf>
    <xf numFmtId="167" fontId="0" fillId="0" borderId="0" xfId="0" quotePrefix="1" applyNumberFormat="1" applyFont="1" applyAlignment="1">
      <alignment horizontal="center"/>
    </xf>
    <xf numFmtId="0" fontId="11" fillId="0" borderId="0" xfId="0" applyFont="1"/>
    <xf numFmtId="0" fontId="11" fillId="0" borderId="0" xfId="0" applyFont="1" applyFill="1" applyBorder="1"/>
    <xf numFmtId="0" fontId="11" fillId="0" borderId="0" xfId="0" applyFont="1" applyAlignment="1"/>
    <xf numFmtId="167" fontId="11" fillId="0" borderId="0" xfId="0" applyNumberFormat="1"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0" fillId="0" borderId="0" xfId="0" applyFont="1" applyAlignment="1">
      <alignment horizontal="center"/>
    </xf>
    <xf numFmtId="0" fontId="10" fillId="0" borderId="0" xfId="0" applyFont="1" applyAlignment="1"/>
    <xf numFmtId="0" fontId="0" fillId="0" borderId="0" xfId="0" applyFont="1" applyBorder="1"/>
    <xf numFmtId="0" fontId="0" fillId="0" borderId="0" xfId="0" applyFont="1" applyBorder="1" applyAlignment="1">
      <alignment horizontal="center"/>
    </xf>
    <xf numFmtId="166" fontId="0" fillId="2" borderId="1" xfId="0" applyNumberFormat="1" applyFont="1" applyFill="1" applyBorder="1" applyAlignment="1">
      <alignment horizontal="center"/>
    </xf>
    <xf numFmtId="0" fontId="0" fillId="2" borderId="2" xfId="0" applyFont="1" applyFill="1" applyBorder="1" applyAlignment="1">
      <alignment horizontal="center"/>
    </xf>
    <xf numFmtId="164" fontId="0" fillId="0" borderId="0" xfId="0" applyNumberFormat="1" applyFont="1" applyFill="1" applyBorder="1" applyAlignment="1">
      <alignment horizontal="center"/>
    </xf>
    <xf numFmtId="0" fontId="0" fillId="0" borderId="0" xfId="0" applyFont="1" applyAlignment="1">
      <alignment horizontal="left"/>
    </xf>
    <xf numFmtId="167" fontId="0" fillId="0" borderId="1" xfId="0" applyNumberFormat="1" applyFont="1" applyBorder="1" applyAlignment="1">
      <alignment horizontal="center"/>
    </xf>
    <xf numFmtId="0" fontId="0" fillId="0" borderId="1" xfId="0" quotePrefix="1" applyFont="1" applyBorder="1" applyAlignment="1">
      <alignment horizontal="center"/>
    </xf>
    <xf numFmtId="164" fontId="0" fillId="0" borderId="1" xfId="0" applyNumberFormat="1" applyFont="1" applyFill="1" applyBorder="1" applyAlignment="1">
      <alignment horizontal="center"/>
    </xf>
    <xf numFmtId="167" fontId="1" fillId="0" borderId="1" xfId="0" applyNumberFormat="1" applyFont="1" applyBorder="1" applyAlignment="1">
      <alignment horizontal="center"/>
    </xf>
    <xf numFmtId="167" fontId="11" fillId="0" borderId="1" xfId="0" applyNumberFormat="1" applyFont="1" applyBorder="1" applyAlignment="1">
      <alignment horizontal="center"/>
    </xf>
    <xf numFmtId="0" fontId="0" fillId="0" borderId="1" xfId="0" applyFont="1" applyBorder="1"/>
    <xf numFmtId="0" fontId="0" fillId="0" borderId="2" xfId="0" applyFont="1" applyBorder="1" applyAlignment="1">
      <alignment horizontal="left"/>
    </xf>
    <xf numFmtId="5" fontId="0" fillId="0" borderId="1" xfId="0" applyNumberFormat="1" applyFont="1" applyFill="1" applyBorder="1" applyAlignment="1">
      <alignment horizontal="center"/>
    </xf>
    <xf numFmtId="0" fontId="0" fillId="0" borderId="0" xfId="0" applyFont="1" applyBorder="1" applyAlignment="1">
      <alignment horizontal="left"/>
    </xf>
    <xf numFmtId="0" fontId="1" fillId="0" borderId="0" xfId="0" applyFont="1" applyBorder="1" applyAlignment="1"/>
    <xf numFmtId="0" fontId="0" fillId="0" borderId="0" xfId="0" applyFont="1" applyBorder="1" applyAlignment="1"/>
    <xf numFmtId="0" fontId="0" fillId="0" borderId="0" xfId="0" applyFont="1" applyAlignment="1">
      <alignment horizontal="left"/>
    </xf>
    <xf numFmtId="167" fontId="0" fillId="0" borderId="0" xfId="0" applyNumberFormat="1" applyFont="1" applyAlignment="1">
      <alignment horizontal="left"/>
    </xf>
    <xf numFmtId="0" fontId="5" fillId="0" borderId="0" xfId="0" applyFont="1" applyFill="1" applyBorder="1" applyAlignment="1"/>
    <xf numFmtId="0" fontId="0" fillId="0" borderId="0" xfId="0" applyAlignment="1"/>
    <xf numFmtId="164" fontId="1" fillId="0" borderId="0" xfId="0" applyNumberFormat="1" applyFont="1" applyBorder="1" applyAlignment="1">
      <alignment horizontal="center"/>
    </xf>
    <xf numFmtId="164" fontId="11" fillId="0" borderId="0" xfId="0" applyNumberFormat="1" applyFont="1" applyBorder="1" applyAlignment="1">
      <alignment horizontal="center"/>
    </xf>
    <xf numFmtId="164" fontId="0" fillId="0" borderId="0" xfId="0" applyNumberFormat="1" applyAlignment="1"/>
    <xf numFmtId="0" fontId="0" fillId="0" borderId="0" xfId="0" applyFont="1" applyAlignment="1">
      <alignment horizontal="left"/>
    </xf>
    <xf numFmtId="0" fontId="0" fillId="0" borderId="0" xfId="0" applyFont="1" applyAlignment="1">
      <alignment horizontal="center"/>
    </xf>
    <xf numFmtId="0" fontId="0" fillId="0" borderId="0" xfId="0" applyFont="1" applyBorder="1" applyAlignment="1">
      <alignment horizontal="left"/>
    </xf>
    <xf numFmtId="167" fontId="0" fillId="0" borderId="0" xfId="0" applyNumberFormat="1" applyFont="1" applyAlignment="1">
      <alignment horizontal="left"/>
    </xf>
    <xf numFmtId="0" fontId="0" fillId="0" borderId="0" xfId="0" applyFont="1" applyAlignment="1"/>
    <xf numFmtId="0" fontId="5" fillId="0" borderId="0" xfId="0" applyFont="1" applyFill="1" applyBorder="1" applyAlignment="1">
      <alignment wrapText="1"/>
    </xf>
    <xf numFmtId="0" fontId="7" fillId="0" borderId="0" xfId="0" applyFont="1" applyFill="1" applyBorder="1" applyAlignment="1">
      <alignment wrapText="1"/>
    </xf>
    <xf numFmtId="0" fontId="1" fillId="0" borderId="0" xfId="0" applyFont="1" applyAlignment="1">
      <alignment horizontal="center"/>
    </xf>
    <xf numFmtId="8" fontId="5" fillId="2" borderId="1" xfId="0" applyNumberFormat="1" applyFont="1" applyFill="1" applyBorder="1" applyAlignment="1">
      <alignment horizontal="center" wrapText="1"/>
    </xf>
    <xf numFmtId="164" fontId="0" fillId="0" borderId="1" xfId="0" applyNumberFormat="1" applyBorder="1" applyAlignment="1">
      <alignment horizontal="center"/>
    </xf>
    <xf numFmtId="164" fontId="0" fillId="2" borderId="1" xfId="0" applyNumberFormat="1" applyFill="1" applyBorder="1" applyAlignment="1">
      <alignment horizontal="center"/>
    </xf>
    <xf numFmtId="3" fontId="0" fillId="0" borderId="0" xfId="0" applyNumberFormat="1" applyFont="1" applyAlignment="1">
      <alignment horizontal="center"/>
    </xf>
    <xf numFmtId="3" fontId="0" fillId="0" borderId="1" xfId="0" applyNumberFormat="1" applyFont="1" applyFill="1" applyBorder="1" applyAlignment="1">
      <alignment horizontal="center"/>
    </xf>
    <xf numFmtId="0" fontId="5" fillId="0" borderId="0" xfId="0" applyFont="1" applyFill="1" applyBorder="1" applyAlignment="1">
      <alignment wrapText="1"/>
    </xf>
    <xf numFmtId="0" fontId="0" fillId="0" borderId="0" xfId="0" applyAlignment="1">
      <alignment horizontal="center"/>
    </xf>
    <xf numFmtId="3" fontId="5" fillId="0" borderId="0" xfId="0" applyNumberFormat="1" applyFont="1" applyFill="1" applyBorder="1" applyAlignment="1">
      <alignment horizontal="center" wrapText="1"/>
    </xf>
    <xf numFmtId="3" fontId="0" fillId="0" borderId="0" xfId="0" applyNumberFormat="1" applyAlignment="1">
      <alignment horizontal="center"/>
    </xf>
    <xf numFmtId="0" fontId="14" fillId="0" borderId="0" xfId="0" applyFont="1" applyAlignment="1"/>
    <xf numFmtId="3" fontId="14" fillId="0" borderId="0" xfId="4" applyNumberFormat="1" applyFont="1" applyAlignment="1">
      <alignment horizontal="center"/>
    </xf>
    <xf numFmtId="168" fontId="0" fillId="0" borderId="0" xfId="4" applyNumberFormat="1" applyFont="1"/>
    <xf numFmtId="168" fontId="0" fillId="3" borderId="1" xfId="4" applyNumberFormat="1" applyFont="1" applyFill="1" applyBorder="1"/>
    <xf numFmtId="168" fontId="13" fillId="3" borderId="1" xfId="4" applyNumberFormat="1" applyFont="1" applyFill="1" applyBorder="1"/>
    <xf numFmtId="168" fontId="0" fillId="0" borderId="1" xfId="4" applyNumberFormat="1" applyFont="1" applyFill="1" applyBorder="1"/>
    <xf numFmtId="168" fontId="0" fillId="3" borderId="2" xfId="4" applyNumberFormat="1" applyFont="1" applyFill="1" applyBorder="1"/>
    <xf numFmtId="168" fontId="0" fillId="0" borderId="0" xfId="4" applyNumberFormat="1" applyFont="1" applyFill="1" applyBorder="1"/>
    <xf numFmtId="0" fontId="0" fillId="0" borderId="0" xfId="0" applyBorder="1"/>
    <xf numFmtId="0" fontId="0" fillId="4" borderId="0" xfId="0" applyFill="1" applyBorder="1"/>
    <xf numFmtId="0" fontId="18" fillId="4" borderId="0" xfId="0" applyFont="1" applyFill="1" applyBorder="1" applyAlignment="1">
      <alignment horizontal="center"/>
    </xf>
    <xf numFmtId="0" fontId="19" fillId="4" borderId="0" xfId="0" applyFont="1" applyFill="1" applyBorder="1" applyAlignment="1"/>
    <xf numFmtId="169" fontId="1" fillId="0" borderId="1" xfId="0" applyNumberFormat="1" applyFont="1" applyBorder="1" applyAlignment="1">
      <alignment horizontal="center"/>
    </xf>
    <xf numFmtId="0" fontId="10" fillId="0" borderId="0" xfId="0" applyFont="1" applyAlignment="1">
      <alignment horizontal="center"/>
    </xf>
    <xf numFmtId="0" fontId="0" fillId="0" borderId="0" xfId="0" applyFont="1" applyAlignment="1">
      <alignment horizontal="left"/>
    </xf>
    <xf numFmtId="0" fontId="0" fillId="0" borderId="0" xfId="0" applyFont="1" applyAlignment="1">
      <alignment horizontal="center"/>
    </xf>
    <xf numFmtId="0" fontId="1" fillId="0" borderId="0" xfId="0" applyFont="1" applyAlignment="1">
      <alignment horizontal="center"/>
    </xf>
    <xf numFmtId="0" fontId="15" fillId="4" borderId="0" xfId="0" applyFont="1" applyFill="1" applyBorder="1" applyAlignment="1">
      <alignment horizontal="center"/>
    </xf>
    <xf numFmtId="0" fontId="16" fillId="4" borderId="0" xfId="0" applyFont="1" applyFill="1" applyBorder="1" applyAlignment="1">
      <alignment horizontal="center"/>
    </xf>
    <xf numFmtId="0" fontId="17" fillId="4" borderId="0" xfId="0" applyFont="1" applyFill="1" applyBorder="1" applyAlignment="1">
      <alignment horizontal="center"/>
    </xf>
    <xf numFmtId="0" fontId="19" fillId="4" borderId="0" xfId="0" applyFont="1" applyFill="1" applyBorder="1" applyAlignment="1">
      <alignment horizontal="center" wrapText="1"/>
    </xf>
    <xf numFmtId="0" fontId="19" fillId="4" borderId="0" xfId="0" applyFont="1" applyFill="1" applyBorder="1" applyAlignment="1">
      <alignment horizontal="center"/>
    </xf>
    <xf numFmtId="0" fontId="20" fillId="0" borderId="0" xfId="0" applyFont="1" applyBorder="1" applyAlignment="1">
      <alignment horizontal="center"/>
    </xf>
    <xf numFmtId="0" fontId="0" fillId="0" borderId="0" xfId="0" applyFont="1" applyAlignment="1">
      <alignment horizontal="left"/>
    </xf>
    <xf numFmtId="0" fontId="1" fillId="0" borderId="0" xfId="0" applyFont="1" applyAlignment="1">
      <alignment horizontal="left"/>
    </xf>
    <xf numFmtId="167" fontId="0" fillId="0" borderId="0" xfId="0" applyNumberFormat="1" applyFont="1" applyAlignment="1">
      <alignment horizontal="left"/>
    </xf>
    <xf numFmtId="0" fontId="10" fillId="0" borderId="0" xfId="0" applyFont="1" applyAlignment="1">
      <alignment horizontal="center"/>
    </xf>
    <xf numFmtId="0" fontId="0" fillId="0" borderId="0" xfId="0" applyFont="1" applyBorder="1" applyAlignment="1">
      <alignment horizontal="left"/>
    </xf>
    <xf numFmtId="0" fontId="2" fillId="0" borderId="0" xfId="0" applyFont="1" applyAlignment="1">
      <alignment horizontal="center"/>
    </xf>
    <xf numFmtId="0" fontId="0" fillId="0" borderId="3" xfId="0" applyFont="1" applyFill="1" applyBorder="1" applyAlignment="1">
      <alignment horizontal="left"/>
    </xf>
    <xf numFmtId="0" fontId="0" fillId="0" borderId="4" xfId="0" applyFont="1" applyFill="1" applyBorder="1" applyAlignment="1">
      <alignment horizontal="left"/>
    </xf>
    <xf numFmtId="0" fontId="6" fillId="0" borderId="0" xfId="0" applyFont="1" applyFill="1" applyBorder="1" applyAlignment="1">
      <alignment horizontal="center" wrapText="1"/>
    </xf>
    <xf numFmtId="0" fontId="5" fillId="0" borderId="0" xfId="0" applyFont="1" applyFill="1" applyBorder="1" applyAlignment="1">
      <alignment wrapText="1"/>
    </xf>
    <xf numFmtId="0" fontId="5" fillId="0" borderId="0" xfId="0" applyFont="1" applyFill="1" applyBorder="1" applyAlignment="1">
      <alignment horizontal="left" wrapText="1"/>
    </xf>
    <xf numFmtId="0" fontId="5" fillId="0" borderId="0" xfId="0" applyFont="1" applyFill="1" applyBorder="1" applyAlignment="1">
      <alignment horizontal="center" wrapText="1"/>
    </xf>
    <xf numFmtId="0" fontId="7" fillId="0" borderId="0" xfId="0" applyFont="1" applyFill="1" applyBorder="1" applyAlignment="1">
      <alignment wrapText="1"/>
    </xf>
    <xf numFmtId="0" fontId="6" fillId="0" borderId="0" xfId="0" applyFont="1" applyFill="1" applyBorder="1" applyAlignment="1">
      <alignment wrapText="1"/>
    </xf>
    <xf numFmtId="0" fontId="0" fillId="0" borderId="0" xfId="0" applyAlignment="1">
      <alignment horizontal="center"/>
    </xf>
    <xf numFmtId="0" fontId="1" fillId="0" borderId="0" xfId="0" applyFont="1" applyAlignment="1">
      <alignment horizontal="center"/>
    </xf>
    <xf numFmtId="0" fontId="3" fillId="0" borderId="0" xfId="0" applyFont="1" applyAlignment="1">
      <alignment horizontal="center"/>
    </xf>
    <xf numFmtId="0" fontId="11" fillId="0" borderId="0" xfId="0" applyFont="1" applyAlignment="1">
      <alignment horizontal="left"/>
    </xf>
    <xf numFmtId="169" fontId="11" fillId="0" borderId="1" xfId="0" applyNumberFormat="1" applyFont="1" applyBorder="1" applyAlignment="1">
      <alignment horizontal="center"/>
    </xf>
    <xf numFmtId="0" fontId="2" fillId="0" borderId="0" xfId="0" applyFont="1" applyAlignment="1">
      <alignment horizontal="left"/>
    </xf>
    <xf numFmtId="0" fontId="5" fillId="0" borderId="1" xfId="0" applyFont="1" applyFill="1" applyBorder="1" applyAlignment="1">
      <alignment wrapText="1"/>
    </xf>
    <xf numFmtId="0" fontId="5" fillId="0" borderId="1" xfId="0" applyFont="1" applyFill="1" applyBorder="1" applyAlignment="1">
      <alignment horizontal="center" wrapText="1"/>
    </xf>
    <xf numFmtId="164" fontId="0" fillId="0" borderId="1" xfId="0" quotePrefix="1" applyNumberFormat="1" applyFont="1" applyFill="1" applyBorder="1" applyAlignment="1">
      <alignment horizontal="center"/>
    </xf>
    <xf numFmtId="167" fontId="0" fillId="2" borderId="1" xfId="3" applyNumberFormat="1" applyFont="1" applyFill="1" applyBorder="1" applyAlignment="1">
      <alignment horizontal="center"/>
    </xf>
    <xf numFmtId="171" fontId="0" fillId="0" borderId="0" xfId="0" applyNumberFormat="1" applyFont="1"/>
    <xf numFmtId="169" fontId="0" fillId="0" borderId="0" xfId="0" applyNumberFormat="1" applyFont="1"/>
    <xf numFmtId="169" fontId="0" fillId="0" borderId="0" xfId="0" applyNumberFormat="1" applyFont="1" applyAlignment="1">
      <alignment horizontal="center"/>
    </xf>
  </cellXfs>
  <cellStyles count="5">
    <cellStyle name="Comma" xfId="4" builtinId="3"/>
    <cellStyle name="Currency" xfId="3" builtinId="4"/>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209551</xdr:rowOff>
    </xdr:from>
    <xdr:to>
      <xdr:col>12</xdr:col>
      <xdr:colOff>504825</xdr:colOff>
      <xdr:row>18</xdr:row>
      <xdr:rowOff>161192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93481" y="2143859"/>
          <a:ext cx="7033113" cy="1827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15000"/>
            </a:lnSpc>
            <a:spcBef>
              <a:spcPts val="0"/>
            </a:spcBef>
            <a:spcAft>
              <a:spcPts val="1000"/>
            </a:spcAft>
          </a:pPr>
          <a:r>
            <a:rPr lang="en-US" sz="1200" b="1" baseline="0">
              <a:effectLst/>
              <a:latin typeface="+mn-lt"/>
              <a:ea typeface="Calibri"/>
              <a:cs typeface="Times New Roman"/>
            </a:rPr>
            <a:t>Spreadsheet cells</a:t>
          </a:r>
          <a:r>
            <a:rPr lang="en-US" sz="1200" baseline="0">
              <a:effectLst/>
              <a:latin typeface="+mn-lt"/>
              <a:ea typeface="Calibri"/>
              <a:cs typeface="Times New Roman"/>
            </a:rPr>
            <a:t> highlighted in orange can be modified by users to reflect their specific situation.</a:t>
          </a:r>
        </a:p>
        <a:p>
          <a:pPr marL="0" marR="0">
            <a:lnSpc>
              <a:spcPct val="115000"/>
            </a:lnSpc>
            <a:spcBef>
              <a:spcPts val="0"/>
            </a:spcBef>
            <a:spcAft>
              <a:spcPts val="1000"/>
            </a:spcAft>
          </a:pPr>
          <a:r>
            <a:rPr lang="en-US" sz="1200" b="1" baseline="0">
              <a:effectLst/>
              <a:latin typeface="+mn-lt"/>
              <a:ea typeface="Calibri"/>
              <a:cs typeface="Times New Roman"/>
            </a:rPr>
            <a:t>Disclaimer</a:t>
          </a:r>
          <a:r>
            <a:rPr lang="en-US" sz="1200" baseline="0">
              <a:effectLst/>
              <a:latin typeface="+mn-lt"/>
              <a:ea typeface="Calibri"/>
              <a:cs typeface="Times New Roman"/>
            </a:rPr>
            <a:t>: Significant variability in inputs, prices, and production practices exist across operations and from region to region. The information contained in this spreadsheet relies on estimates and assumptions specific to Tennessee. This information should not be construed as a reflection of all circumstances across the state, as regional variability does exist. To improve the value of this tool, users are encouraged to use inputs, prices, production practices and management that are employed on their specific operation.</a:t>
          </a:r>
          <a:endParaRPr lang="en-US" sz="1200">
            <a:effectLst/>
            <a:latin typeface="+mn-lt"/>
            <a:ea typeface="Calibri"/>
            <a:cs typeface="Times New Roman"/>
          </a:endParaRPr>
        </a:p>
      </xdr:txBody>
    </xdr:sp>
    <xdr:clientData/>
  </xdr:twoCellAnchor>
  <mc:AlternateContent xmlns:mc="http://schemas.openxmlformats.org/markup-compatibility/2006">
    <mc:Choice xmlns:a14="http://schemas.microsoft.com/office/drawing/2010/main" Requires="a14">
      <xdr:twoCellAnchor>
        <xdr:from>
          <xdr:col>5</xdr:col>
          <xdr:colOff>295275</xdr:colOff>
          <xdr:row>23</xdr:row>
          <xdr:rowOff>104775</xdr:rowOff>
        </xdr:from>
        <xdr:to>
          <xdr:col>7</xdr:col>
          <xdr:colOff>180975</xdr:colOff>
          <xdr:row>26</xdr:row>
          <xdr:rowOff>38100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Start</a:t>
              </a:r>
            </a:p>
          </xdr:txBody>
        </xdr:sp>
        <xdr:clientData fPrintsWithSheet="0"/>
      </xdr:twoCellAnchor>
    </mc:Choice>
    <mc:Fallback/>
  </mc:AlternateContent>
  <xdr:twoCellAnchor editAs="oneCell">
    <xdr:from>
      <xdr:col>9</xdr:col>
      <xdr:colOff>114300</xdr:colOff>
      <xdr:row>0</xdr:row>
      <xdr:rowOff>57150</xdr:rowOff>
    </xdr:from>
    <xdr:to>
      <xdr:col>13</xdr:col>
      <xdr:colOff>28575</xdr:colOff>
      <xdr:row>2</xdr:row>
      <xdr:rowOff>65913</xdr:rowOff>
    </xdr:to>
    <xdr:pic>
      <xdr:nvPicPr>
        <xdr:cNvPr id="4" name="Picture 3" descr="Extensionlogoforsite.jpg">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386" t="17391" r="29297" b="16149"/>
        <a:stretch/>
      </xdr:blipFill>
      <xdr:spPr bwMode="auto">
        <a:xfrm>
          <a:off x="5429250" y="57150"/>
          <a:ext cx="2276475" cy="599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461597</xdr:colOff>
      <xdr:row>23</xdr:row>
      <xdr:rowOff>173648</xdr:rowOff>
    </xdr:from>
    <xdr:to>
      <xdr:col>12</xdr:col>
      <xdr:colOff>87190</xdr:colOff>
      <xdr:row>26</xdr:row>
      <xdr:rowOff>78967</xdr:rowOff>
    </xdr:to>
    <xdr:pic>
      <xdr:nvPicPr>
        <xdr:cNvPr id="5" name="Picture 4" descr="UTIAlogos.jpg">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645" t="14451" r="41928" b="42197"/>
        <a:stretch/>
      </xdr:blipFill>
      <xdr:spPr bwMode="auto">
        <a:xfrm>
          <a:off x="4615962" y="5463686"/>
          <a:ext cx="2592997" cy="476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2</xdr:col>
      <xdr:colOff>205153</xdr:colOff>
      <xdr:row>2</xdr:row>
      <xdr:rowOff>188588</xdr:rowOff>
    </xdr:to>
    <xdr:pic>
      <xdr:nvPicPr>
        <xdr:cNvPr id="6" name="Picture 5">
          <a:extLst>
            <a:ext uri="{FF2B5EF4-FFF2-40B4-BE49-F238E27FC236}">
              <a16:creationId xmlns:a16="http://schemas.microsoft.com/office/drawing/2014/main" id="{0A7140C4-59CE-4A1D-A0FD-2680F91F0B6C}"/>
            </a:ext>
          </a:extLst>
        </xdr:cNvPr>
        <xdr:cNvPicPr>
          <a:picLocks noChangeAspect="1"/>
        </xdr:cNvPicPr>
      </xdr:nvPicPr>
      <xdr:blipFill>
        <a:blip xmlns:r="http://schemas.openxmlformats.org/officeDocument/2006/relationships" r:embed="rId3"/>
        <a:stretch>
          <a:fillRect/>
        </a:stretch>
      </xdr:blipFill>
      <xdr:spPr>
        <a:xfrm>
          <a:off x="0" y="0"/>
          <a:ext cx="1392115" cy="774742"/>
        </a:xfrm>
        <a:prstGeom prst="rect">
          <a:avLst/>
        </a:prstGeom>
      </xdr:spPr>
    </xdr:pic>
    <xdr:clientData/>
  </xdr:twoCellAnchor>
  <xdr:twoCellAnchor editAs="oneCell">
    <xdr:from>
      <xdr:col>1</xdr:col>
      <xdr:colOff>0</xdr:colOff>
      <xdr:row>20</xdr:row>
      <xdr:rowOff>190500</xdr:rowOff>
    </xdr:from>
    <xdr:to>
      <xdr:col>12</xdr:col>
      <xdr:colOff>454269</xdr:colOff>
      <xdr:row>22</xdr:row>
      <xdr:rowOff>174784</xdr:rowOff>
    </xdr:to>
    <xdr:pic>
      <xdr:nvPicPr>
        <xdr:cNvPr id="7" name="Picture 6">
          <a:extLst>
            <a:ext uri="{FF2B5EF4-FFF2-40B4-BE49-F238E27FC236}">
              <a16:creationId xmlns:a16="http://schemas.microsoft.com/office/drawing/2014/main" id="{74576EC0-ACE8-402A-A1A8-8EAD962746EE}"/>
            </a:ext>
          </a:extLst>
        </xdr:cNvPr>
        <xdr:cNvPicPr>
          <a:picLocks noChangeAspect="1"/>
        </xdr:cNvPicPr>
      </xdr:nvPicPr>
      <xdr:blipFill>
        <a:blip xmlns:r="http://schemas.openxmlformats.org/officeDocument/2006/relationships" r:embed="rId4"/>
        <a:stretch>
          <a:fillRect/>
        </a:stretch>
      </xdr:blipFill>
      <xdr:spPr>
        <a:xfrm>
          <a:off x="593481" y="4909038"/>
          <a:ext cx="6982557" cy="3652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419100</xdr:colOff>
          <xdr:row>38</xdr:row>
          <xdr:rowOff>85725</xdr:rowOff>
        </xdr:from>
        <xdr:to>
          <xdr:col>18</xdr:col>
          <xdr:colOff>419100</xdr:colOff>
          <xdr:row>39</xdr:row>
          <xdr:rowOff>133350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Print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297613</xdr:colOff>
          <xdr:row>33</xdr:row>
          <xdr:rowOff>98845</xdr:rowOff>
        </xdr:from>
        <xdr:to>
          <xdr:col>8</xdr:col>
          <xdr:colOff>332477</xdr:colOff>
          <xdr:row>34</xdr:row>
          <xdr:rowOff>152760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Print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hyperlink" Target="https://configure.deere.com/cbyo/" TargetMode="External"/><Relationship Id="rId2" Type="http://schemas.openxmlformats.org/officeDocument/2006/relationships/hyperlink" Target="https://www.dtnpf.com/agriculture/web/ag/news/business-inputs/article/2021/05/04/farm-credit-rates" TargetMode="External"/><Relationship Id="rId1" Type="http://schemas.openxmlformats.org/officeDocument/2006/relationships/hyperlink" Target="https://www.bls.gov/oes/current/oes452091.htm" TargetMode="External"/><Relationship Id="rId4"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43778-0CD9-45C6-B372-BFEFBC4703DE}">
  <sheetPr codeName="Sheet11"/>
  <dimension ref="B1:M25"/>
  <sheetViews>
    <sheetView showGridLines="0" tabSelected="1" zoomScale="130" zoomScaleNormal="130" workbookViewId="0">
      <selection activeCell="B22" sqref="B22"/>
    </sheetView>
  </sheetViews>
  <sheetFormatPr defaultColWidth="8.85546875" defaultRowHeight="15" x14ac:dyDescent="0.25"/>
  <cols>
    <col min="1" max="16384" width="8.85546875" style="106"/>
  </cols>
  <sheetData>
    <row r="1" spans="2:13" ht="23.25" x14ac:dyDescent="0.35">
      <c r="B1" s="115" t="s">
        <v>227</v>
      </c>
      <c r="C1" s="115"/>
      <c r="D1" s="115"/>
      <c r="E1" s="115"/>
      <c r="F1" s="115"/>
      <c r="G1" s="115"/>
      <c r="H1" s="115"/>
      <c r="I1" s="115"/>
      <c r="J1" s="115"/>
      <c r="K1" s="115"/>
      <c r="L1" s="115"/>
      <c r="M1" s="115"/>
    </row>
    <row r="2" spans="2:13" ht="23.25" x14ac:dyDescent="0.35">
      <c r="B2" s="115" t="s">
        <v>215</v>
      </c>
      <c r="C2" s="115"/>
      <c r="D2" s="115"/>
      <c r="E2" s="115"/>
      <c r="F2" s="115"/>
      <c r="G2" s="115"/>
      <c r="H2" s="115"/>
      <c r="I2" s="115"/>
      <c r="J2" s="115"/>
      <c r="K2" s="115"/>
      <c r="L2" s="115"/>
      <c r="M2" s="115"/>
    </row>
    <row r="3" spans="2:13" x14ac:dyDescent="0.25">
      <c r="B3" s="107"/>
      <c r="C3" s="107"/>
      <c r="D3" s="107"/>
      <c r="E3" s="107"/>
      <c r="F3" s="107"/>
      <c r="G3" s="107"/>
      <c r="H3" s="107"/>
      <c r="I3" s="107"/>
      <c r="J3" s="107"/>
      <c r="K3" s="107"/>
      <c r="L3" s="107"/>
      <c r="M3" s="107"/>
    </row>
    <row r="4" spans="2:13" ht="18.75" x14ac:dyDescent="0.3">
      <c r="B4" s="116" t="s">
        <v>218</v>
      </c>
      <c r="C4" s="116"/>
      <c r="D4" s="116"/>
      <c r="E4" s="116"/>
      <c r="F4" s="116"/>
      <c r="G4" s="116"/>
      <c r="H4" s="116"/>
      <c r="I4" s="116"/>
      <c r="J4" s="116"/>
      <c r="K4" s="116"/>
      <c r="L4" s="116"/>
      <c r="M4" s="116"/>
    </row>
    <row r="5" spans="2:13" ht="18.75" x14ac:dyDescent="0.3">
      <c r="B5" s="117" t="s">
        <v>217</v>
      </c>
      <c r="C5" s="117"/>
      <c r="D5" s="117"/>
      <c r="E5" s="117"/>
      <c r="F5" s="117"/>
      <c r="G5" s="117"/>
      <c r="H5" s="117"/>
      <c r="I5" s="117"/>
      <c r="J5" s="117"/>
      <c r="K5" s="117"/>
      <c r="L5" s="117"/>
      <c r="M5" s="117"/>
    </row>
    <row r="6" spans="2:13" ht="18.75" x14ac:dyDescent="0.3">
      <c r="B6" s="116" t="s">
        <v>226</v>
      </c>
      <c r="C6" s="116"/>
      <c r="D6" s="116"/>
      <c r="E6" s="116"/>
      <c r="F6" s="116"/>
      <c r="G6" s="116"/>
      <c r="H6" s="116"/>
      <c r="I6" s="116"/>
      <c r="J6" s="116"/>
      <c r="K6" s="116"/>
      <c r="L6" s="116"/>
      <c r="M6" s="116"/>
    </row>
    <row r="7" spans="2:13" ht="15" customHeight="1" x14ac:dyDescent="0.3">
      <c r="B7" s="117" t="s">
        <v>235</v>
      </c>
      <c r="C7" s="117"/>
      <c r="D7" s="117"/>
      <c r="E7" s="117"/>
      <c r="F7" s="117"/>
      <c r="G7" s="117"/>
      <c r="H7" s="117"/>
      <c r="I7" s="117"/>
      <c r="J7" s="117"/>
      <c r="K7" s="117"/>
      <c r="L7" s="117"/>
      <c r="M7" s="117"/>
    </row>
    <row r="8" spans="2:13" ht="18.75" x14ac:dyDescent="0.3">
      <c r="B8" s="116" t="s">
        <v>219</v>
      </c>
      <c r="C8" s="116"/>
      <c r="D8" s="116"/>
      <c r="E8" s="116"/>
      <c r="F8" s="116"/>
      <c r="G8" s="116"/>
      <c r="H8" s="116"/>
      <c r="I8" s="116"/>
      <c r="J8" s="116"/>
      <c r="K8" s="116"/>
      <c r="L8" s="116"/>
      <c r="M8" s="116"/>
    </row>
    <row r="9" spans="2:13" ht="18.75" x14ac:dyDescent="0.3">
      <c r="B9" s="120" t="s">
        <v>220</v>
      </c>
      <c r="C9" s="120"/>
      <c r="D9" s="120"/>
      <c r="E9" s="120"/>
      <c r="F9" s="120"/>
      <c r="G9" s="120"/>
      <c r="H9" s="120"/>
      <c r="I9" s="120"/>
      <c r="J9" s="120"/>
      <c r="K9" s="120"/>
      <c r="L9" s="120"/>
      <c r="M9" s="120"/>
    </row>
    <row r="10" spans="2:13" x14ac:dyDescent="0.25">
      <c r="B10" s="108"/>
      <c r="C10" s="108"/>
      <c r="D10" s="108"/>
      <c r="E10" s="108"/>
      <c r="F10" s="108"/>
      <c r="G10" s="108"/>
      <c r="H10" s="108"/>
      <c r="I10" s="108"/>
      <c r="J10" s="108"/>
      <c r="K10" s="108"/>
      <c r="L10" s="108"/>
      <c r="M10" s="108"/>
    </row>
    <row r="11" spans="2:13" x14ac:dyDescent="0.25">
      <c r="B11" s="107"/>
      <c r="C11" s="107"/>
      <c r="D11" s="107"/>
      <c r="E11" s="107"/>
      <c r="F11" s="107"/>
      <c r="G11" s="107"/>
      <c r="H11" s="107"/>
      <c r="I11" s="107"/>
      <c r="J11" s="107"/>
      <c r="K11" s="107"/>
      <c r="L11" s="107"/>
      <c r="M11" s="107"/>
    </row>
    <row r="12" spans="2:13" x14ac:dyDescent="0.25">
      <c r="B12" s="107"/>
      <c r="C12" s="107"/>
      <c r="D12" s="107"/>
      <c r="E12" s="107"/>
      <c r="F12" s="107"/>
      <c r="G12" s="107"/>
      <c r="H12" s="107"/>
      <c r="I12" s="107"/>
      <c r="J12" s="107"/>
      <c r="K12" s="107"/>
      <c r="L12" s="107"/>
      <c r="M12" s="107"/>
    </row>
    <row r="13" spans="2:13" x14ac:dyDescent="0.25">
      <c r="B13" s="107"/>
      <c r="C13" s="107"/>
      <c r="D13" s="107"/>
      <c r="E13" s="107"/>
      <c r="F13" s="107"/>
      <c r="G13" s="107"/>
      <c r="H13" s="107"/>
      <c r="I13" s="107"/>
      <c r="J13" s="107"/>
      <c r="K13" s="107"/>
      <c r="L13" s="107"/>
      <c r="M13" s="107"/>
    </row>
    <row r="14" spans="2:13" x14ac:dyDescent="0.25">
      <c r="B14" s="107"/>
      <c r="C14" s="107"/>
      <c r="D14" s="107"/>
      <c r="E14" s="107"/>
      <c r="F14" s="107"/>
      <c r="G14" s="107"/>
      <c r="H14" s="107"/>
      <c r="I14" s="107"/>
      <c r="J14" s="107"/>
      <c r="K14" s="107"/>
      <c r="L14" s="107"/>
      <c r="M14" s="107"/>
    </row>
    <row r="15" spans="2:13" x14ac:dyDescent="0.25">
      <c r="B15" s="107"/>
      <c r="C15" s="107"/>
      <c r="D15" s="107"/>
      <c r="E15" s="107"/>
      <c r="F15" s="107"/>
      <c r="G15" s="107"/>
      <c r="H15" s="107"/>
      <c r="I15" s="107"/>
      <c r="J15" s="107"/>
      <c r="K15" s="107"/>
      <c r="L15" s="107"/>
      <c r="M15" s="107"/>
    </row>
    <row r="16" spans="2:13" x14ac:dyDescent="0.25">
      <c r="B16" s="107"/>
      <c r="C16" s="107"/>
      <c r="D16" s="107"/>
      <c r="E16" s="107"/>
      <c r="F16" s="107"/>
      <c r="G16" s="107"/>
      <c r="H16" s="107"/>
      <c r="I16" s="107"/>
      <c r="J16" s="107"/>
      <c r="K16" s="107"/>
      <c r="L16" s="107"/>
      <c r="M16" s="107"/>
    </row>
    <row r="17" spans="2:13" ht="11.25" customHeight="1" x14ac:dyDescent="0.25">
      <c r="B17" s="107"/>
      <c r="C17" s="107"/>
      <c r="D17" s="107"/>
      <c r="E17" s="107"/>
      <c r="F17" s="107"/>
      <c r="G17" s="107"/>
      <c r="H17" s="107"/>
      <c r="I17" s="107"/>
      <c r="J17" s="107"/>
      <c r="K17" s="107"/>
      <c r="L17" s="107"/>
      <c r="M17" s="107"/>
    </row>
    <row r="18" spans="2:13" ht="12" customHeight="1" x14ac:dyDescent="0.25">
      <c r="B18" s="107"/>
      <c r="C18" s="107"/>
      <c r="D18" s="107"/>
      <c r="E18" s="107"/>
      <c r="F18" s="107"/>
      <c r="G18" s="107"/>
      <c r="H18" s="107"/>
      <c r="I18" s="107"/>
      <c r="J18" s="107"/>
      <c r="K18" s="107"/>
      <c r="L18" s="107"/>
      <c r="M18" s="107"/>
    </row>
    <row r="19" spans="2:13" ht="56.25" customHeight="1" x14ac:dyDescent="0.25">
      <c r="B19" s="118" t="s">
        <v>216</v>
      </c>
      <c r="C19" s="118"/>
      <c r="D19" s="118"/>
      <c r="E19" s="118"/>
      <c r="F19" s="118"/>
      <c r="G19" s="118"/>
      <c r="H19" s="118"/>
      <c r="I19" s="118"/>
      <c r="J19" s="118"/>
      <c r="K19" s="118"/>
      <c r="L19" s="118"/>
      <c r="M19" s="109"/>
    </row>
    <row r="20" spans="2:13" x14ac:dyDescent="0.25">
      <c r="B20" s="119"/>
      <c r="C20" s="119"/>
      <c r="D20" s="119"/>
      <c r="E20" s="119"/>
      <c r="F20" s="119"/>
      <c r="G20" s="119"/>
      <c r="H20" s="119"/>
      <c r="I20" s="119"/>
      <c r="J20" s="119"/>
      <c r="K20" s="119"/>
      <c r="L20" s="119"/>
      <c r="M20" s="109"/>
    </row>
    <row r="21" spans="2:13" x14ac:dyDescent="0.25">
      <c r="B21" s="119" t="s">
        <v>272</v>
      </c>
      <c r="C21" s="119"/>
      <c r="D21" s="119"/>
      <c r="E21" s="119"/>
      <c r="F21" s="119"/>
      <c r="G21" s="119"/>
      <c r="H21" s="119"/>
      <c r="I21" s="119"/>
      <c r="J21" s="119"/>
      <c r="K21" s="119"/>
      <c r="L21" s="119"/>
      <c r="M21" s="109"/>
    </row>
    <row r="22" spans="2:13" x14ac:dyDescent="0.25">
      <c r="B22" s="107"/>
      <c r="C22" s="107"/>
      <c r="D22" s="107"/>
      <c r="E22" s="107"/>
      <c r="F22" s="107"/>
      <c r="G22" s="107"/>
      <c r="H22" s="107"/>
      <c r="I22" s="107"/>
      <c r="J22" s="107"/>
      <c r="K22" s="107"/>
      <c r="L22" s="107"/>
      <c r="M22" s="107"/>
    </row>
    <row r="23" spans="2:13" x14ac:dyDescent="0.25">
      <c r="B23" s="107"/>
      <c r="C23" s="107"/>
      <c r="D23" s="107"/>
      <c r="E23" s="107"/>
      <c r="F23" s="107"/>
      <c r="G23" s="107"/>
      <c r="H23" s="107"/>
      <c r="I23" s="107"/>
      <c r="J23" s="107"/>
      <c r="K23" s="107"/>
      <c r="L23" s="107"/>
      <c r="M23" s="107"/>
    </row>
    <row r="24" spans="2:13" x14ac:dyDescent="0.25">
      <c r="B24" s="107"/>
      <c r="C24" s="107"/>
      <c r="D24" s="107"/>
      <c r="E24" s="107"/>
      <c r="F24" s="107"/>
      <c r="G24" s="107"/>
      <c r="H24" s="107"/>
      <c r="I24" s="107"/>
      <c r="J24" s="107"/>
      <c r="K24" s="107"/>
      <c r="L24" s="107"/>
      <c r="M24" s="107"/>
    </row>
    <row r="25" spans="2:13" x14ac:dyDescent="0.25">
      <c r="B25" s="107"/>
      <c r="C25" s="107"/>
      <c r="D25" s="107"/>
      <c r="E25" s="107"/>
      <c r="F25" s="107"/>
      <c r="G25" s="107"/>
      <c r="H25" s="107"/>
      <c r="I25" s="107"/>
      <c r="J25" s="107"/>
      <c r="K25" s="107"/>
      <c r="L25" s="107"/>
      <c r="M25" s="107"/>
    </row>
  </sheetData>
  <mergeCells count="11">
    <mergeCell ref="B19:L19"/>
    <mergeCell ref="B20:L20"/>
    <mergeCell ref="B21:L21"/>
    <mergeCell ref="B6:M6"/>
    <mergeCell ref="B7:M7"/>
    <mergeCell ref="B9:M9"/>
    <mergeCell ref="B1:M1"/>
    <mergeCell ref="B2:M2"/>
    <mergeCell ref="B4:M4"/>
    <mergeCell ref="B5:M5"/>
    <mergeCell ref="B8:M8"/>
  </mergeCells>
  <pageMargins left="0.7" right="0.7" top="0.75" bottom="0.75" header="0.3" footer="0.3"/>
  <pageSetup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Start">
                <anchor moveWithCells="1" sizeWithCells="1">
                  <from>
                    <xdr:col>5</xdr:col>
                    <xdr:colOff>295275</xdr:colOff>
                    <xdr:row>23</xdr:row>
                    <xdr:rowOff>104775</xdr:rowOff>
                  </from>
                  <to>
                    <xdr:col>7</xdr:col>
                    <xdr:colOff>180975</xdr:colOff>
                    <xdr:row>26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9D950-A7BA-4C8A-A190-7DFA5EAA5D24}">
  <sheetPr codeName="Sheet9"/>
  <dimension ref="A1:M40"/>
  <sheetViews>
    <sheetView workbookViewId="0">
      <selection activeCell="K3" sqref="K3"/>
    </sheetView>
  </sheetViews>
  <sheetFormatPr defaultRowHeight="15" x14ac:dyDescent="0.25"/>
  <cols>
    <col min="3" max="3" width="10.28515625" customWidth="1"/>
  </cols>
  <sheetData>
    <row r="1" spans="1:11" ht="26.25" x14ac:dyDescent="0.4">
      <c r="B1" s="137" t="s">
        <v>58</v>
      </c>
      <c r="C1" s="137"/>
      <c r="D1" s="137"/>
      <c r="E1" s="137"/>
      <c r="F1" s="137"/>
      <c r="G1" s="137"/>
      <c r="H1" s="137"/>
      <c r="I1" s="137"/>
      <c r="J1" s="137"/>
    </row>
    <row r="3" spans="1:11" x14ac:dyDescent="0.25">
      <c r="H3" s="1" t="s">
        <v>5</v>
      </c>
      <c r="K3">
        <v>60000</v>
      </c>
    </row>
    <row r="4" spans="1:11" ht="21" x14ac:dyDescent="0.35">
      <c r="A4" s="126" t="s">
        <v>15</v>
      </c>
      <c r="B4" s="135"/>
      <c r="C4" s="135"/>
    </row>
    <row r="5" spans="1:11" x14ac:dyDescent="0.25">
      <c r="B5" s="135" t="s">
        <v>58</v>
      </c>
      <c r="C5" s="135"/>
    </row>
    <row r="6" spans="1:11" x14ac:dyDescent="0.25">
      <c r="B6" s="135" t="s">
        <v>42</v>
      </c>
      <c r="C6" s="135"/>
    </row>
    <row r="7" spans="1:11" x14ac:dyDescent="0.25">
      <c r="B7" s="135" t="s">
        <v>43</v>
      </c>
      <c r="C7" s="135"/>
    </row>
    <row r="8" spans="1:11" x14ac:dyDescent="0.25">
      <c r="B8" s="135" t="s">
        <v>44</v>
      </c>
      <c r="C8" s="135"/>
    </row>
    <row r="9" spans="1:11" x14ac:dyDescent="0.25">
      <c r="B9" s="135" t="s">
        <v>45</v>
      </c>
      <c r="C9" s="135"/>
    </row>
    <row r="10" spans="1:11" x14ac:dyDescent="0.25">
      <c r="B10" s="135" t="s">
        <v>59</v>
      </c>
      <c r="C10" s="135"/>
    </row>
    <row r="11" spans="1:11" x14ac:dyDescent="0.25">
      <c r="B11" s="135" t="s">
        <v>60</v>
      </c>
      <c r="C11" s="135"/>
      <c r="D11">
        <v>4.8800000000000003E-2</v>
      </c>
      <c r="F11" s="3" t="s">
        <v>61</v>
      </c>
    </row>
    <row r="12" spans="1:11" x14ac:dyDescent="0.25">
      <c r="B12" s="135" t="s">
        <v>52</v>
      </c>
      <c r="C12" s="135"/>
    </row>
    <row r="13" spans="1:11" x14ac:dyDescent="0.25">
      <c r="B13" s="135" t="s">
        <v>62</v>
      </c>
      <c r="C13" s="135"/>
    </row>
    <row r="14" spans="1:11" x14ac:dyDescent="0.25">
      <c r="B14" s="135" t="s">
        <v>53</v>
      </c>
      <c r="C14" s="135"/>
    </row>
    <row r="15" spans="1:11" x14ac:dyDescent="0.25">
      <c r="B15" s="136" t="s">
        <v>20</v>
      </c>
      <c r="C15" s="135"/>
    </row>
    <row r="18" spans="1:13" ht="21" x14ac:dyDescent="0.35">
      <c r="A18" s="126" t="s">
        <v>12</v>
      </c>
      <c r="B18" s="126"/>
      <c r="C18" s="126"/>
    </row>
    <row r="19" spans="1:13" x14ac:dyDescent="0.25">
      <c r="B19" s="135" t="s">
        <v>24</v>
      </c>
      <c r="C19" s="135"/>
      <c r="D19">
        <v>124000</v>
      </c>
      <c r="F19" s="3" t="s">
        <v>63</v>
      </c>
      <c r="M19" t="s">
        <v>64</v>
      </c>
    </row>
    <row r="20" spans="1:13" x14ac:dyDescent="0.25">
      <c r="B20" s="135" t="s">
        <v>65</v>
      </c>
      <c r="C20" s="135"/>
    </row>
    <row r="21" spans="1:13" x14ac:dyDescent="0.25">
      <c r="B21" s="135" t="s">
        <v>66</v>
      </c>
      <c r="C21" s="135"/>
    </row>
    <row r="22" spans="1:13" x14ac:dyDescent="0.25">
      <c r="B22" s="135" t="s">
        <v>67</v>
      </c>
      <c r="C22" s="135"/>
    </row>
    <row r="23" spans="1:13" x14ac:dyDescent="0.25">
      <c r="B23" s="135" t="s">
        <v>51</v>
      </c>
      <c r="C23" s="135"/>
      <c r="D23">
        <v>14000</v>
      </c>
      <c r="H23" t="s">
        <v>68</v>
      </c>
    </row>
    <row r="24" spans="1:13" x14ac:dyDescent="0.25">
      <c r="B24" s="135" t="s">
        <v>13</v>
      </c>
      <c r="C24" s="135"/>
    </row>
    <row r="25" spans="1:13" x14ac:dyDescent="0.25">
      <c r="B25" s="135" t="s">
        <v>34</v>
      </c>
      <c r="C25" s="135"/>
      <c r="D25">
        <v>9000</v>
      </c>
      <c r="J25" t="s">
        <v>69</v>
      </c>
    </row>
    <row r="26" spans="1:13" x14ac:dyDescent="0.25">
      <c r="B26" s="135" t="s">
        <v>35</v>
      </c>
      <c r="C26" s="135"/>
      <c r="M26" t="s">
        <v>70</v>
      </c>
    </row>
    <row r="27" spans="1:13" x14ac:dyDescent="0.25">
      <c r="B27" s="135" t="s">
        <v>71</v>
      </c>
      <c r="C27" s="135"/>
    </row>
    <row r="28" spans="1:13" x14ac:dyDescent="0.25">
      <c r="B28" s="136" t="s">
        <v>14</v>
      </c>
      <c r="C28" s="136"/>
    </row>
    <row r="31" spans="1:13" ht="21" x14ac:dyDescent="0.35">
      <c r="A31" s="126" t="s">
        <v>0</v>
      </c>
      <c r="B31" s="126"/>
      <c r="C31" s="126"/>
    </row>
    <row r="32" spans="1:13" x14ac:dyDescent="0.25">
      <c r="B32" s="135" t="s">
        <v>4</v>
      </c>
      <c r="C32" s="135"/>
      <c r="D32">
        <v>0.02</v>
      </c>
    </row>
    <row r="33" spans="2:9" x14ac:dyDescent="0.25">
      <c r="B33" s="135" t="s">
        <v>6</v>
      </c>
      <c r="C33" s="135"/>
      <c r="D33">
        <v>0.02</v>
      </c>
    </row>
    <row r="34" spans="2:9" x14ac:dyDescent="0.25">
      <c r="B34" s="135" t="s">
        <v>7</v>
      </c>
      <c r="C34" s="135"/>
      <c r="D34">
        <v>5.0000000000000001E-3</v>
      </c>
      <c r="F34" t="s">
        <v>72</v>
      </c>
    </row>
    <row r="35" spans="2:9" x14ac:dyDescent="0.25">
      <c r="B35" s="135" t="s">
        <v>8</v>
      </c>
      <c r="C35" s="135"/>
    </row>
    <row r="36" spans="2:9" x14ac:dyDescent="0.25">
      <c r="B36" s="135" t="s">
        <v>73</v>
      </c>
      <c r="C36" s="135"/>
      <c r="D36">
        <v>2400</v>
      </c>
      <c r="I36" t="s">
        <v>74</v>
      </c>
    </row>
    <row r="37" spans="2:9" x14ac:dyDescent="0.25">
      <c r="B37" s="135" t="s">
        <v>75</v>
      </c>
      <c r="C37" s="135"/>
    </row>
    <row r="38" spans="2:9" x14ac:dyDescent="0.25">
      <c r="B38" s="135" t="s">
        <v>9</v>
      </c>
      <c r="C38" s="135"/>
    </row>
    <row r="39" spans="2:9" x14ac:dyDescent="0.25">
      <c r="B39" s="135" t="s">
        <v>76</v>
      </c>
      <c r="C39" s="135"/>
      <c r="D39">
        <v>16.38</v>
      </c>
      <c r="H39" s="3" t="s">
        <v>77</v>
      </c>
    </row>
    <row r="40" spans="2:9" x14ac:dyDescent="0.25">
      <c r="B40" s="136" t="s">
        <v>11</v>
      </c>
      <c r="C40" s="135"/>
    </row>
  </sheetData>
  <mergeCells count="34">
    <mergeCell ref="B20:C20"/>
    <mergeCell ref="B21:C21"/>
    <mergeCell ref="B22:C22"/>
    <mergeCell ref="B37:C37"/>
    <mergeCell ref="B38:C38"/>
    <mergeCell ref="B36:C36"/>
    <mergeCell ref="B34:C34"/>
    <mergeCell ref="B27:C27"/>
    <mergeCell ref="B1:J1"/>
    <mergeCell ref="B5:C5"/>
    <mergeCell ref="B10:C10"/>
    <mergeCell ref="B11:C11"/>
    <mergeCell ref="B12:C12"/>
    <mergeCell ref="B8:C8"/>
    <mergeCell ref="A4:C4"/>
    <mergeCell ref="B6:C6"/>
    <mergeCell ref="B7:C7"/>
    <mergeCell ref="B9:C9"/>
    <mergeCell ref="B39:C39"/>
    <mergeCell ref="B40:C40"/>
    <mergeCell ref="B13:C13"/>
    <mergeCell ref="B28:C28"/>
    <mergeCell ref="A31:C31"/>
    <mergeCell ref="B32:C32"/>
    <mergeCell ref="B33:C33"/>
    <mergeCell ref="B35:C35"/>
    <mergeCell ref="A18:C18"/>
    <mergeCell ref="B19:C19"/>
    <mergeCell ref="B23:C23"/>
    <mergeCell ref="B24:C24"/>
    <mergeCell ref="B25:C25"/>
    <mergeCell ref="B26:C26"/>
    <mergeCell ref="B14:C14"/>
    <mergeCell ref="B15:C15"/>
  </mergeCells>
  <hyperlinks>
    <hyperlink ref="H39" r:id="rId1" xr:uid="{E141D794-0E82-46C7-A569-C5B589DC8904}"/>
    <hyperlink ref="F11" r:id="rId2" xr:uid="{EA07A59A-32B6-4AE4-B3E4-7536D6D2B03A}"/>
    <hyperlink ref="F19" r:id="rId3" location="/en_us/configure/117649354" xr:uid="{E5F6E2E6-A4BF-4E4D-9FF3-B79849BEFD5B}"/>
  </hyperlinks>
  <pageMargins left="0.7" right="0.7" top="0.75" bottom="0.75" header="0.3" footer="0.3"/>
  <pageSetup orientation="portrait" horizontalDpi="300" verticalDpi="300"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F3B3E-E1BA-49E3-A16C-2EF3213AFA25}">
  <sheetPr codeName="Sheet10"/>
  <dimension ref="A1:M3"/>
  <sheetViews>
    <sheetView workbookViewId="0">
      <selection activeCell="E22" sqref="E22"/>
    </sheetView>
  </sheetViews>
  <sheetFormatPr defaultRowHeight="15" x14ac:dyDescent="0.25"/>
  <cols>
    <col min="1" max="1" width="10" bestFit="1" customWidth="1"/>
    <col min="4" max="4" width="10" bestFit="1" customWidth="1"/>
    <col min="7" max="7" width="10" bestFit="1" customWidth="1"/>
    <col min="10" max="10" width="10" bestFit="1" customWidth="1"/>
    <col min="13" max="13" width="10" bestFit="1" customWidth="1"/>
  </cols>
  <sheetData>
    <row r="1" spans="1:13" x14ac:dyDescent="0.25">
      <c r="A1">
        <v>10000</v>
      </c>
      <c r="D1">
        <v>20000</v>
      </c>
      <c r="G1">
        <v>40000</v>
      </c>
      <c r="J1">
        <v>60000</v>
      </c>
      <c r="M1">
        <v>80000</v>
      </c>
    </row>
    <row r="2" spans="1:13" x14ac:dyDescent="0.25">
      <c r="A2" t="s">
        <v>16</v>
      </c>
      <c r="B2">
        <f>50702.84</f>
        <v>50702.84</v>
      </c>
      <c r="D2" t="s">
        <v>16</v>
      </c>
      <c r="E2">
        <v>65038.49</v>
      </c>
      <c r="G2" t="s">
        <v>16</v>
      </c>
      <c r="H2">
        <f>106670.08</f>
        <v>106670.08</v>
      </c>
      <c r="J2" t="s">
        <v>16</v>
      </c>
      <c r="K2">
        <f>157499.48</f>
        <v>157499.48000000001</v>
      </c>
      <c r="M2" t="s">
        <v>16</v>
      </c>
    </row>
    <row r="3" spans="1:13" x14ac:dyDescent="0.25">
      <c r="A3" t="s">
        <v>78</v>
      </c>
      <c r="B3">
        <v>1600</v>
      </c>
      <c r="D3" t="s">
        <v>79</v>
      </c>
      <c r="E3">
        <v>3000</v>
      </c>
      <c r="G3" t="s">
        <v>79</v>
      </c>
      <c r="H3">
        <v>4900</v>
      </c>
      <c r="J3" t="s">
        <v>79</v>
      </c>
      <c r="K3">
        <v>6000</v>
      </c>
      <c r="M3" t="s">
        <v>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52087-3A5C-4F70-8948-713191865B5E}">
  <sheetPr codeName="Sheet1">
    <pageSetUpPr fitToPage="1"/>
  </sheetPr>
  <dimension ref="A1:R61"/>
  <sheetViews>
    <sheetView workbookViewId="0">
      <selection activeCell="B62" sqref="B62"/>
    </sheetView>
  </sheetViews>
  <sheetFormatPr defaultColWidth="9.140625" defaultRowHeight="15" x14ac:dyDescent="0.25"/>
  <cols>
    <col min="1" max="1" width="30.7109375" style="19" customWidth="1"/>
    <col min="2" max="2" width="16.85546875" style="19" bestFit="1" customWidth="1"/>
    <col min="3" max="3" width="17.5703125" style="19" bestFit="1" customWidth="1"/>
    <col min="4" max="4" width="16.7109375" style="19" bestFit="1" customWidth="1"/>
    <col min="5" max="5" width="16.140625" style="19" bestFit="1" customWidth="1"/>
    <col min="6" max="6" width="16.5703125" style="19" bestFit="1" customWidth="1"/>
    <col min="7" max="7" width="15.5703125" style="19" bestFit="1" customWidth="1"/>
    <col min="8" max="8" width="16.5703125" style="19" bestFit="1" customWidth="1"/>
    <col min="9" max="9" width="17.42578125" style="19" customWidth="1"/>
    <col min="10" max="10" width="9.140625" style="19" hidden="1" customWidth="1"/>
    <col min="11" max="11" width="19.7109375" style="19" hidden="1" customWidth="1"/>
    <col min="12" max="12" width="22.7109375" style="19" hidden="1" customWidth="1"/>
    <col min="13" max="13" width="30.28515625" style="19" hidden="1" customWidth="1"/>
    <col min="14" max="14" width="34.42578125" style="19" hidden="1" customWidth="1"/>
    <col min="15" max="15" width="16.5703125" style="19" hidden="1" customWidth="1"/>
    <col min="16" max="16" width="10.28515625" style="19" hidden="1" customWidth="1"/>
    <col min="17" max="18" width="9.140625" style="19" hidden="1" customWidth="1"/>
    <col min="19" max="21" width="9.140625" style="19" customWidth="1"/>
    <col min="22" max="16384" width="9.140625" style="19"/>
  </cols>
  <sheetData>
    <row r="1" spans="1:16" ht="30" customHeight="1" x14ac:dyDescent="0.5">
      <c r="A1" s="124" t="s">
        <v>122</v>
      </c>
      <c r="B1" s="124"/>
      <c r="C1" s="124"/>
      <c r="D1" s="124"/>
      <c r="E1" s="124"/>
      <c r="F1" s="124"/>
      <c r="G1" s="124"/>
      <c r="H1" s="56"/>
    </row>
    <row r="2" spans="1:16" ht="20.45" customHeight="1" x14ac:dyDescent="0.5">
      <c r="A2" s="49" t="s">
        <v>233</v>
      </c>
      <c r="B2" s="55"/>
      <c r="C2" s="53"/>
      <c r="E2" s="138" t="s">
        <v>270</v>
      </c>
      <c r="F2" s="111"/>
      <c r="G2" s="111"/>
      <c r="H2" s="111"/>
    </row>
    <row r="3" spans="1:16" x14ac:dyDescent="0.25">
      <c r="B3" s="15" t="s">
        <v>87</v>
      </c>
      <c r="C3" s="15" t="s">
        <v>1</v>
      </c>
      <c r="E3" s="17" t="s">
        <v>126</v>
      </c>
      <c r="F3" s="114" t="s">
        <v>101</v>
      </c>
      <c r="G3" s="114" t="s">
        <v>98</v>
      </c>
      <c r="H3" s="114" t="s">
        <v>102</v>
      </c>
      <c r="L3" s="16" t="s">
        <v>115</v>
      </c>
      <c r="M3" s="16" t="s">
        <v>103</v>
      </c>
      <c r="N3" s="16" t="s">
        <v>104</v>
      </c>
      <c r="O3" s="16" t="s">
        <v>105</v>
      </c>
      <c r="P3" s="21"/>
    </row>
    <row r="4" spans="1:16" x14ac:dyDescent="0.25">
      <c r="A4" s="19" t="s">
        <v>113</v>
      </c>
      <c r="B4" s="20">
        <v>400</v>
      </c>
      <c r="C4" s="24" t="s">
        <v>85</v>
      </c>
      <c r="E4" s="68" t="s">
        <v>96</v>
      </c>
      <c r="F4" s="41">
        <v>44801</v>
      </c>
      <c r="G4" s="20">
        <v>10</v>
      </c>
      <c r="H4" s="41">
        <v>5000</v>
      </c>
      <c r="K4" s="18" t="s">
        <v>96</v>
      </c>
      <c r="L4" s="28">
        <f>(F4-H4)*($B$15/(1-(1+$B$15)^-G4))+(H4*$B$15)</f>
        <v>5107.1028752837583</v>
      </c>
      <c r="M4" s="28">
        <f>(F4+H4)/2*B17</f>
        <v>996.02</v>
      </c>
      <c r="N4" s="28">
        <f>(F4+H4)/2*$B$16</f>
        <v>498.01</v>
      </c>
      <c r="O4" s="48" t="s">
        <v>93</v>
      </c>
      <c r="P4" s="21"/>
    </row>
    <row r="5" spans="1:16" x14ac:dyDescent="0.25">
      <c r="A5" s="19" t="s">
        <v>83</v>
      </c>
      <c r="B5" s="20">
        <v>200</v>
      </c>
      <c r="C5" s="24" t="s">
        <v>84</v>
      </c>
      <c r="E5" s="68" t="s">
        <v>97</v>
      </c>
      <c r="F5" s="41">
        <v>50861</v>
      </c>
      <c r="G5" s="20">
        <v>10</v>
      </c>
      <c r="H5" s="41">
        <v>5000</v>
      </c>
      <c r="K5" s="18" t="s">
        <v>97</v>
      </c>
      <c r="L5" s="28">
        <f>(F5-H5)*($B$15/(1-(1+$B$15)^-G5))+(H5*$B$15)</f>
        <v>5854.245997924384</v>
      </c>
      <c r="M5" s="28">
        <f>(F5+H5)/2*B17</f>
        <v>1117.22</v>
      </c>
      <c r="N5" s="28">
        <f>(F5+H5)/2*$B$16</f>
        <v>558.61</v>
      </c>
      <c r="O5" s="48" t="s">
        <v>93</v>
      </c>
    </row>
    <row r="6" spans="1:16" x14ac:dyDescent="0.25">
      <c r="A6" s="19" t="s">
        <v>95</v>
      </c>
      <c r="B6" s="22">
        <f>B4*B5</f>
        <v>80000</v>
      </c>
      <c r="C6" s="24" t="s">
        <v>27</v>
      </c>
      <c r="E6" s="68" t="s">
        <v>24</v>
      </c>
      <c r="F6" s="41">
        <v>125000</v>
      </c>
      <c r="G6" s="20">
        <v>15</v>
      </c>
      <c r="H6" s="41">
        <v>10000</v>
      </c>
      <c r="K6" s="18" t="s">
        <v>24</v>
      </c>
      <c r="L6" s="28">
        <f>((F6-H6)*($B$15/(1-(1+$B$15)^-G6))+(H6*$B$15))*G9</f>
        <v>537.16132713309548</v>
      </c>
      <c r="M6" s="28">
        <f>((F6+H6)/2*B17)*G9</f>
        <v>135</v>
      </c>
      <c r="N6" s="28">
        <f>((F6+H6)/2*$B$16)*G9</f>
        <v>67.5</v>
      </c>
      <c r="O6" s="28">
        <f>(0.06*F8*0.73*((B24+B25)*B11)*B13)*1.15</f>
        <v>180.60667199999997</v>
      </c>
    </row>
    <row r="7" spans="1:16" x14ac:dyDescent="0.25">
      <c r="A7" s="27" t="s">
        <v>118</v>
      </c>
      <c r="B7" s="45">
        <v>5</v>
      </c>
      <c r="C7" s="24" t="s">
        <v>119</v>
      </c>
      <c r="F7" s="28"/>
      <c r="G7" s="113"/>
      <c r="H7" s="28"/>
      <c r="K7" s="31" t="s">
        <v>14</v>
      </c>
      <c r="L7" s="28">
        <f>SUM(L4:L6)</f>
        <v>11498.510200341238</v>
      </c>
      <c r="M7" s="28">
        <f>SUM(M4:M6)</f>
        <v>2248.2399999999998</v>
      </c>
      <c r="N7" s="28">
        <f>SUM(N4:N6)</f>
        <v>1124.1199999999999</v>
      </c>
      <c r="O7" s="28">
        <f>SUM(O4:O6)</f>
        <v>180.60667199999997</v>
      </c>
      <c r="P7" s="21"/>
    </row>
    <row r="8" spans="1:16" x14ac:dyDescent="0.25">
      <c r="A8" s="19" t="s">
        <v>81</v>
      </c>
      <c r="B8" s="23">
        <v>16000</v>
      </c>
      <c r="C8" s="24" t="s">
        <v>86</v>
      </c>
      <c r="E8" s="69" t="s">
        <v>120</v>
      </c>
      <c r="F8" s="60">
        <v>120</v>
      </c>
    </row>
    <row r="9" spans="1:16" x14ac:dyDescent="0.25">
      <c r="A9" s="27" t="s">
        <v>99</v>
      </c>
      <c r="B9" s="23">
        <v>450</v>
      </c>
      <c r="C9" s="24" t="s">
        <v>100</v>
      </c>
      <c r="E9" s="127" t="s">
        <v>133</v>
      </c>
      <c r="F9" s="128"/>
      <c r="G9" s="30">
        <v>0.05</v>
      </c>
      <c r="L9" s="19" t="s">
        <v>144</v>
      </c>
      <c r="M9" s="19" t="s">
        <v>145</v>
      </c>
      <c r="N9" s="19" t="s">
        <v>145</v>
      </c>
      <c r="O9" s="19" t="s">
        <v>144</v>
      </c>
    </row>
    <row r="10" spans="1:16" x14ac:dyDescent="0.25">
      <c r="A10" s="19" t="s">
        <v>135</v>
      </c>
      <c r="B10" s="41">
        <v>1100</v>
      </c>
      <c r="C10" s="24" t="s">
        <v>114</v>
      </c>
    </row>
    <row r="11" spans="1:16" x14ac:dyDescent="0.25">
      <c r="A11" s="19" t="s">
        <v>82</v>
      </c>
      <c r="B11" s="24">
        <f>ROUNDUP(B6/B8,0)</f>
        <v>5</v>
      </c>
      <c r="C11" s="24" t="s">
        <v>138</v>
      </c>
    </row>
    <row r="12" spans="1:16" x14ac:dyDescent="0.25">
      <c r="A12" s="19" t="s">
        <v>88</v>
      </c>
      <c r="B12" s="29">
        <v>15.61</v>
      </c>
      <c r="C12" s="24" t="s">
        <v>89</v>
      </c>
    </row>
    <row r="13" spans="1:16" x14ac:dyDescent="0.25">
      <c r="A13" s="19" t="s">
        <v>106</v>
      </c>
      <c r="B13" s="29">
        <v>2.4900000000000002</v>
      </c>
      <c r="C13" s="24" t="s">
        <v>107</v>
      </c>
    </row>
    <row r="14" spans="1:16" x14ac:dyDescent="0.25">
      <c r="A14" s="19" t="s">
        <v>123</v>
      </c>
      <c r="B14" s="30">
        <v>0.05</v>
      </c>
      <c r="C14" s="24" t="s">
        <v>90</v>
      </c>
    </row>
    <row r="15" spans="1:16" x14ac:dyDescent="0.25">
      <c r="A15" s="19" t="s">
        <v>124</v>
      </c>
      <c r="B15" s="30">
        <v>0.04</v>
      </c>
      <c r="C15" s="24" t="s">
        <v>90</v>
      </c>
    </row>
    <row r="16" spans="1:16" x14ac:dyDescent="0.25">
      <c r="A16" s="19" t="s">
        <v>117</v>
      </c>
      <c r="B16" s="59">
        <v>0.02</v>
      </c>
      <c r="C16" s="24" t="s">
        <v>128</v>
      </c>
    </row>
    <row r="17" spans="1:8" x14ac:dyDescent="0.25">
      <c r="A17" s="27" t="s">
        <v>221</v>
      </c>
      <c r="B17" s="59">
        <v>0.04</v>
      </c>
      <c r="C17" s="24" t="s">
        <v>128</v>
      </c>
    </row>
    <row r="18" spans="1:8" x14ac:dyDescent="0.25">
      <c r="A18" s="19" t="s">
        <v>223</v>
      </c>
      <c r="B18" s="30">
        <v>0.02</v>
      </c>
      <c r="C18" s="24" t="s">
        <v>90</v>
      </c>
    </row>
    <row r="19" spans="1:8" x14ac:dyDescent="0.25">
      <c r="B19" s="46"/>
      <c r="C19" s="21"/>
    </row>
    <row r="20" spans="1:8" ht="18.75" x14ac:dyDescent="0.3">
      <c r="A20" s="50" t="s">
        <v>234</v>
      </c>
    </row>
    <row r="21" spans="1:8" x14ac:dyDescent="0.25">
      <c r="A21" s="17" t="s">
        <v>111</v>
      </c>
      <c r="B21" s="15" t="s">
        <v>212</v>
      </c>
      <c r="C21" s="16" t="s">
        <v>1</v>
      </c>
      <c r="D21" s="15" t="s">
        <v>2</v>
      </c>
      <c r="E21" s="15" t="s">
        <v>92</v>
      </c>
      <c r="F21" s="15" t="s">
        <v>1</v>
      </c>
      <c r="G21" s="15" t="s">
        <v>3</v>
      </c>
      <c r="H21" s="15" t="s">
        <v>119</v>
      </c>
    </row>
    <row r="22" spans="1:8" x14ac:dyDescent="0.25">
      <c r="A22" s="18" t="s">
        <v>213</v>
      </c>
      <c r="B22" s="38">
        <f>B11</f>
        <v>5</v>
      </c>
      <c r="C22" s="24" t="s">
        <v>94</v>
      </c>
      <c r="D22" s="43" t="s">
        <v>93</v>
      </c>
      <c r="E22" s="47">
        <v>5</v>
      </c>
      <c r="F22" s="24" t="s">
        <v>114</v>
      </c>
      <c r="G22" s="63">
        <f>B22*E22</f>
        <v>25</v>
      </c>
      <c r="H22" s="26"/>
    </row>
    <row r="23" spans="1:8" x14ac:dyDescent="0.25">
      <c r="A23" s="37" t="s">
        <v>134</v>
      </c>
      <c r="B23" s="38">
        <f>B11</f>
        <v>5</v>
      </c>
      <c r="C23" s="24" t="s">
        <v>94</v>
      </c>
      <c r="D23" s="43" t="s">
        <v>93</v>
      </c>
      <c r="E23" s="70">
        <f>B10</f>
        <v>1100</v>
      </c>
      <c r="F23" s="24" t="s">
        <v>114</v>
      </c>
      <c r="G23" s="63">
        <f>B23*E23</f>
        <v>5500</v>
      </c>
      <c r="H23" s="26"/>
    </row>
    <row r="24" spans="1:8" x14ac:dyDescent="0.25">
      <c r="A24" s="18" t="s">
        <v>130</v>
      </c>
      <c r="B24" s="20">
        <v>1.2</v>
      </c>
      <c r="C24" s="24" t="s">
        <v>136</v>
      </c>
      <c r="D24" s="20">
        <v>2</v>
      </c>
      <c r="E24" s="44">
        <f>B12</f>
        <v>15.61</v>
      </c>
      <c r="F24" s="24" t="s">
        <v>89</v>
      </c>
      <c r="G24" s="63">
        <f>B24*D24*E24*B11</f>
        <v>187.32</v>
      </c>
      <c r="H24" s="26"/>
    </row>
    <row r="25" spans="1:8" x14ac:dyDescent="0.25">
      <c r="A25" s="18" t="s">
        <v>131</v>
      </c>
      <c r="B25" s="20">
        <v>1.2</v>
      </c>
      <c r="C25" s="24" t="s">
        <v>136</v>
      </c>
      <c r="D25" s="20">
        <v>2</v>
      </c>
      <c r="E25" s="44">
        <f>B12</f>
        <v>15.61</v>
      </c>
      <c r="F25" s="24" t="s">
        <v>89</v>
      </c>
      <c r="G25" s="63">
        <f>B25*D25*E25*B11</f>
        <v>187.32</v>
      </c>
      <c r="H25" s="26"/>
    </row>
    <row r="26" spans="1:8" x14ac:dyDescent="0.25">
      <c r="A26" s="37" t="s">
        <v>232</v>
      </c>
      <c r="B26" s="39">
        <f>M7</f>
        <v>2248.2399999999998</v>
      </c>
      <c r="C26" s="24" t="s">
        <v>108</v>
      </c>
      <c r="D26" s="43" t="s">
        <v>93</v>
      </c>
      <c r="E26" s="44" t="s">
        <v>93</v>
      </c>
      <c r="F26" s="24" t="s">
        <v>108</v>
      </c>
      <c r="G26" s="63">
        <f>B26</f>
        <v>2248.2399999999998</v>
      </c>
      <c r="H26" s="26"/>
    </row>
    <row r="27" spans="1:8" x14ac:dyDescent="0.25">
      <c r="A27" s="37" t="s">
        <v>137</v>
      </c>
      <c r="B27" s="39">
        <f>O7</f>
        <v>180.60667199999997</v>
      </c>
      <c r="C27" s="24" t="s">
        <v>108</v>
      </c>
      <c r="D27" s="43" t="s">
        <v>93</v>
      </c>
      <c r="E27" s="44" t="s">
        <v>93</v>
      </c>
      <c r="F27" s="24" t="s">
        <v>108</v>
      </c>
      <c r="G27" s="63">
        <f>B27</f>
        <v>180.60667199999997</v>
      </c>
      <c r="H27" s="26"/>
    </row>
    <row r="28" spans="1:8" x14ac:dyDescent="0.25">
      <c r="A28" s="18" t="s">
        <v>10</v>
      </c>
      <c r="B28" s="38">
        <f>B11</f>
        <v>5</v>
      </c>
      <c r="C28" s="24" t="s">
        <v>94</v>
      </c>
      <c r="D28" s="24" t="s">
        <v>93</v>
      </c>
      <c r="E28" s="45">
        <v>15</v>
      </c>
      <c r="F28" s="24" t="s">
        <v>114</v>
      </c>
      <c r="G28" s="63">
        <f>E28*B28</f>
        <v>75</v>
      </c>
      <c r="H28" s="26"/>
    </row>
    <row r="29" spans="1:8" x14ac:dyDescent="0.25">
      <c r="A29" s="18" t="s">
        <v>8</v>
      </c>
      <c r="B29" s="20">
        <f>(B6/1000)*10</f>
        <v>800</v>
      </c>
      <c r="C29" s="24" t="s">
        <v>242</v>
      </c>
      <c r="D29" s="64" t="s">
        <v>93</v>
      </c>
      <c r="E29" s="45">
        <v>2</v>
      </c>
      <c r="F29" s="24" t="s">
        <v>243</v>
      </c>
      <c r="G29" s="63">
        <f>B29*E29</f>
        <v>1600</v>
      </c>
      <c r="H29" s="26"/>
    </row>
    <row r="30" spans="1:8" x14ac:dyDescent="0.25">
      <c r="A30" s="18" t="s">
        <v>155</v>
      </c>
      <c r="B30" s="20">
        <v>2</v>
      </c>
      <c r="C30" s="24" t="s">
        <v>139</v>
      </c>
      <c r="D30" s="64" t="s">
        <v>93</v>
      </c>
      <c r="E30" s="45">
        <v>15</v>
      </c>
      <c r="F30" s="24" t="s">
        <v>156</v>
      </c>
      <c r="G30" s="63">
        <f>+B30*B11*E30</f>
        <v>150</v>
      </c>
      <c r="H30" s="26"/>
    </row>
    <row r="31" spans="1:8" x14ac:dyDescent="0.25">
      <c r="A31" s="18" t="s">
        <v>146</v>
      </c>
      <c r="B31" s="20">
        <v>2</v>
      </c>
      <c r="C31" s="24" t="s">
        <v>136</v>
      </c>
      <c r="D31" s="64" t="s">
        <v>93</v>
      </c>
      <c r="E31" s="65">
        <f>B12</f>
        <v>15.61</v>
      </c>
      <c r="F31" s="24" t="s">
        <v>89</v>
      </c>
      <c r="G31" s="63">
        <f>E31*B31*B11</f>
        <v>156.1</v>
      </c>
      <c r="H31" s="26"/>
    </row>
    <row r="32" spans="1:8" x14ac:dyDescent="0.25">
      <c r="A32" s="18" t="s">
        <v>132</v>
      </c>
      <c r="B32" s="38">
        <f>B11</f>
        <v>5</v>
      </c>
      <c r="C32" s="24" t="s">
        <v>94</v>
      </c>
      <c r="D32" s="24" t="s">
        <v>93</v>
      </c>
      <c r="E32" s="45">
        <v>25</v>
      </c>
      <c r="F32" s="24" t="s">
        <v>140</v>
      </c>
      <c r="G32" s="63">
        <f>B11*B9/2000*E32</f>
        <v>28.125</v>
      </c>
      <c r="H32" s="26"/>
    </row>
    <row r="33" spans="1:10" x14ac:dyDescent="0.25">
      <c r="A33" s="18" t="s">
        <v>129</v>
      </c>
      <c r="B33" s="33"/>
      <c r="C33" s="58"/>
      <c r="D33" s="58"/>
      <c r="E33" s="61"/>
      <c r="G33" s="63">
        <f>SUM(G22:G32)*0.5*B14</f>
        <v>258.44279180000001</v>
      </c>
      <c r="H33" s="26"/>
    </row>
    <row r="34" spans="1:10" x14ac:dyDescent="0.25">
      <c r="A34" s="17" t="s">
        <v>112</v>
      </c>
      <c r="C34" s="17"/>
      <c r="D34" s="21"/>
      <c r="E34" s="21"/>
      <c r="G34" s="66">
        <f>SUM(G22:G33)</f>
        <v>10596.1544638</v>
      </c>
      <c r="H34" s="110">
        <f>G34/B6</f>
        <v>0.13245193079750001</v>
      </c>
    </row>
    <row r="35" spans="1:10" x14ac:dyDescent="0.25">
      <c r="A35" s="17" t="s">
        <v>109</v>
      </c>
      <c r="C35" s="17"/>
      <c r="D35" s="21"/>
      <c r="E35" s="21"/>
      <c r="F35" s="40"/>
    </row>
    <row r="36" spans="1:10" ht="15.6" customHeight="1" x14ac:dyDescent="0.25">
      <c r="A36" s="121" t="s">
        <v>116</v>
      </c>
      <c r="B36" s="121"/>
      <c r="C36" s="18"/>
      <c r="D36" s="21"/>
      <c r="E36" s="21"/>
      <c r="G36" s="63">
        <f>L7</f>
        <v>11498.510200341238</v>
      </c>
      <c r="H36" s="25"/>
    </row>
    <row r="37" spans="1:10" x14ac:dyDescent="0.25">
      <c r="A37" s="121" t="s">
        <v>222</v>
      </c>
      <c r="B37" s="121"/>
      <c r="C37" s="21"/>
      <c r="D37" s="21"/>
      <c r="E37" s="21"/>
      <c r="G37" s="63">
        <f>N7</f>
        <v>1124.1199999999999</v>
      </c>
    </row>
    <row r="38" spans="1:10" x14ac:dyDescent="0.25">
      <c r="A38" s="17" t="s">
        <v>110</v>
      </c>
      <c r="C38" s="16"/>
      <c r="D38" s="21"/>
      <c r="E38" s="21"/>
      <c r="G38" s="66">
        <f>SUM(G36:G37)</f>
        <v>12622.630200341238</v>
      </c>
      <c r="H38" s="110">
        <f>G38/B6</f>
        <v>0.15778287750426548</v>
      </c>
    </row>
    <row r="39" spans="1:10" x14ac:dyDescent="0.25">
      <c r="A39" s="17" t="s">
        <v>121</v>
      </c>
      <c r="C39" s="16"/>
      <c r="D39" s="21"/>
      <c r="E39" s="21"/>
      <c r="G39" s="66">
        <f>B6*B18*B7</f>
        <v>8000</v>
      </c>
      <c r="H39" s="110">
        <f>G39/B6</f>
        <v>0.1</v>
      </c>
    </row>
    <row r="40" spans="1:10" ht="18.75" x14ac:dyDescent="0.3">
      <c r="A40" s="51" t="s">
        <v>125</v>
      </c>
      <c r="B40" s="52"/>
      <c r="C40" s="53"/>
      <c r="D40" s="54"/>
      <c r="E40" s="54"/>
      <c r="G40" s="67">
        <f>G38+G34+G39</f>
        <v>31218.78466414124</v>
      </c>
      <c r="H40" s="139">
        <f>G40/B6</f>
        <v>0.39023480830176549</v>
      </c>
    </row>
    <row r="41" spans="1:10" x14ac:dyDescent="0.25">
      <c r="A41" s="17"/>
      <c r="B41" s="42"/>
      <c r="C41" s="16"/>
      <c r="D41" s="21"/>
      <c r="E41" s="21"/>
      <c r="F41" s="21"/>
      <c r="G41" s="21"/>
    </row>
    <row r="42" spans="1:10" x14ac:dyDescent="0.25">
      <c r="A42" s="57" t="s">
        <v>127</v>
      </c>
      <c r="J42" s="15"/>
    </row>
    <row r="43" spans="1:10" x14ac:dyDescent="0.25">
      <c r="A43" s="72" t="s">
        <v>142</v>
      </c>
      <c r="B43" s="1" t="s">
        <v>143</v>
      </c>
      <c r="J43" s="16"/>
    </row>
    <row r="44" spans="1:10" x14ac:dyDescent="0.25">
      <c r="A44" s="73" t="s">
        <v>141</v>
      </c>
      <c r="B44" s="121" t="s">
        <v>236</v>
      </c>
      <c r="C44" s="121"/>
      <c r="D44" s="121"/>
      <c r="E44" s="121"/>
      <c r="F44" s="121"/>
      <c r="G44" s="121"/>
      <c r="H44" s="121"/>
      <c r="J44" s="16"/>
    </row>
    <row r="45" spans="1:10" x14ac:dyDescent="0.25">
      <c r="A45" s="73" t="s">
        <v>147</v>
      </c>
      <c r="B45" s="121" t="s">
        <v>271</v>
      </c>
      <c r="C45" s="121"/>
      <c r="D45" s="121"/>
      <c r="E45" s="121"/>
      <c r="F45" s="121"/>
      <c r="G45" s="121"/>
      <c r="H45" s="121"/>
      <c r="J45" s="36"/>
    </row>
    <row r="46" spans="1:10" x14ac:dyDescent="0.25">
      <c r="A46" s="37" t="s">
        <v>148</v>
      </c>
      <c r="B46" s="121" t="s">
        <v>231</v>
      </c>
      <c r="C46" s="121"/>
      <c r="D46" s="121"/>
      <c r="E46" s="121"/>
      <c r="F46" s="121"/>
      <c r="G46" s="121"/>
      <c r="H46" s="121"/>
      <c r="J46" s="36"/>
    </row>
    <row r="47" spans="1:10" x14ac:dyDescent="0.25">
      <c r="A47" s="37" t="s">
        <v>149</v>
      </c>
      <c r="B47" s="121" t="s">
        <v>230</v>
      </c>
      <c r="C47" s="121"/>
      <c r="D47" s="121"/>
      <c r="E47" s="121"/>
      <c r="F47" s="121"/>
      <c r="G47" s="121"/>
      <c r="H47" s="121"/>
      <c r="J47" s="36"/>
    </row>
    <row r="48" spans="1:10" ht="14.25" customHeight="1" x14ac:dyDescent="0.25">
      <c r="A48" s="37" t="s">
        <v>150</v>
      </c>
      <c r="B48" s="125" t="s">
        <v>229</v>
      </c>
      <c r="C48" s="125"/>
      <c r="D48" s="125"/>
      <c r="E48" s="125"/>
      <c r="F48" s="125"/>
      <c r="G48" s="125"/>
      <c r="H48" s="125"/>
    </row>
    <row r="49" spans="1:9" ht="15" customHeight="1" x14ac:dyDescent="0.25">
      <c r="A49" s="71" t="s">
        <v>151</v>
      </c>
      <c r="B49" s="125" t="s">
        <v>228</v>
      </c>
      <c r="C49" s="125"/>
      <c r="D49" s="125"/>
      <c r="E49" s="125"/>
      <c r="F49" s="125"/>
      <c r="G49" s="125"/>
      <c r="H49" s="125"/>
    </row>
    <row r="50" spans="1:9" ht="15" customHeight="1" x14ac:dyDescent="0.25">
      <c r="A50" s="37" t="s">
        <v>152</v>
      </c>
      <c r="B50" s="121" t="s">
        <v>268</v>
      </c>
      <c r="C50" s="121"/>
      <c r="D50" s="121"/>
      <c r="E50" s="121"/>
      <c r="F50" s="121"/>
      <c r="G50" s="121"/>
      <c r="H50" s="121"/>
    </row>
    <row r="51" spans="1:9" ht="15" customHeight="1" x14ac:dyDescent="0.25">
      <c r="A51" s="37" t="s">
        <v>153</v>
      </c>
      <c r="B51" s="121" t="s">
        <v>268</v>
      </c>
      <c r="C51" s="121"/>
      <c r="D51" s="121"/>
      <c r="E51" s="121"/>
      <c r="F51" s="121"/>
      <c r="G51" s="121"/>
      <c r="H51" s="121"/>
    </row>
    <row r="52" spans="1:9" ht="15" customHeight="1" x14ac:dyDescent="0.25">
      <c r="A52" s="37" t="s">
        <v>154</v>
      </c>
      <c r="B52" s="123" t="s">
        <v>161</v>
      </c>
      <c r="C52" s="123"/>
      <c r="D52" s="123"/>
      <c r="E52" s="123"/>
      <c r="F52" s="123"/>
      <c r="G52" s="123"/>
      <c r="H52" s="123"/>
      <c r="I52" s="21"/>
    </row>
    <row r="53" spans="1:9" x14ac:dyDescent="0.25">
      <c r="A53" s="37" t="s">
        <v>238</v>
      </c>
      <c r="B53" s="121" t="s">
        <v>160</v>
      </c>
      <c r="C53" s="121"/>
      <c r="D53" s="121"/>
      <c r="E53" s="121"/>
      <c r="F53" s="121"/>
      <c r="G53" s="121"/>
      <c r="H53" s="121"/>
    </row>
    <row r="54" spans="1:9" x14ac:dyDescent="0.25">
      <c r="A54" s="37" t="s">
        <v>239</v>
      </c>
      <c r="B54" s="121" t="s">
        <v>159</v>
      </c>
      <c r="C54" s="121"/>
      <c r="D54" s="121"/>
      <c r="E54" s="121"/>
      <c r="F54" s="121"/>
      <c r="G54" s="121"/>
      <c r="H54" s="121"/>
    </row>
    <row r="55" spans="1:9" x14ac:dyDescent="0.25">
      <c r="A55" s="37" t="s">
        <v>240</v>
      </c>
      <c r="B55" s="121" t="s">
        <v>237</v>
      </c>
      <c r="C55" s="121"/>
      <c r="D55" s="121"/>
      <c r="E55" s="121"/>
      <c r="F55" s="121"/>
      <c r="G55" s="121"/>
      <c r="H55" s="121"/>
    </row>
    <row r="56" spans="1:9" x14ac:dyDescent="0.25">
      <c r="A56" s="37" t="s">
        <v>241</v>
      </c>
      <c r="B56" s="121" t="s">
        <v>158</v>
      </c>
      <c r="C56" s="121"/>
      <c r="D56" s="121"/>
      <c r="E56" s="121"/>
      <c r="F56" s="121"/>
      <c r="G56" s="121"/>
      <c r="H56" s="121"/>
    </row>
    <row r="57" spans="1:9" x14ac:dyDescent="0.25">
      <c r="A57" s="32" t="s">
        <v>162</v>
      </c>
      <c r="B57" s="121" t="s">
        <v>163</v>
      </c>
      <c r="C57" s="122"/>
      <c r="D57" s="122"/>
      <c r="E57" s="122"/>
      <c r="F57" s="122"/>
      <c r="G57" s="122"/>
      <c r="H57" s="122"/>
    </row>
    <row r="58" spans="1:9" x14ac:dyDescent="0.25">
      <c r="A58" s="32" t="s">
        <v>164</v>
      </c>
      <c r="B58" s="121" t="s">
        <v>268</v>
      </c>
      <c r="C58" s="121"/>
      <c r="D58" s="121"/>
      <c r="E58" s="121"/>
      <c r="F58" s="121"/>
      <c r="G58" s="121"/>
      <c r="H58" s="121"/>
    </row>
    <row r="59" spans="1:9" x14ac:dyDescent="0.25">
      <c r="A59" s="37" t="s">
        <v>165</v>
      </c>
      <c r="B59" s="121" t="s">
        <v>166</v>
      </c>
      <c r="C59" s="121"/>
      <c r="D59" s="121"/>
      <c r="E59" s="121"/>
      <c r="F59" s="121"/>
      <c r="G59" s="121"/>
      <c r="H59" s="121"/>
    </row>
    <row r="60" spans="1:9" x14ac:dyDescent="0.25">
      <c r="A60" s="37" t="s">
        <v>167</v>
      </c>
      <c r="B60" s="121" t="s">
        <v>166</v>
      </c>
      <c r="C60" s="121"/>
      <c r="D60" s="121"/>
      <c r="E60" s="121"/>
      <c r="F60" s="121"/>
      <c r="G60" s="121"/>
      <c r="H60" s="121"/>
    </row>
    <row r="61" spans="1:9" x14ac:dyDescent="0.25">
      <c r="A61" s="37" t="s">
        <v>168</v>
      </c>
      <c r="B61" s="121" t="s">
        <v>268</v>
      </c>
      <c r="C61" s="121"/>
      <c r="D61" s="121"/>
      <c r="E61" s="121"/>
      <c r="F61" s="121"/>
      <c r="G61" s="121"/>
      <c r="H61" s="121"/>
    </row>
  </sheetData>
  <mergeCells count="22">
    <mergeCell ref="A1:G1"/>
    <mergeCell ref="A36:B36"/>
    <mergeCell ref="A37:B37"/>
    <mergeCell ref="B49:H49"/>
    <mergeCell ref="B45:H45"/>
    <mergeCell ref="B46:H46"/>
    <mergeCell ref="B47:H47"/>
    <mergeCell ref="B48:H48"/>
    <mergeCell ref="B44:H44"/>
    <mergeCell ref="E9:F9"/>
    <mergeCell ref="B50:H50"/>
    <mergeCell ref="B51:H51"/>
    <mergeCell ref="B52:H52"/>
    <mergeCell ref="B53:H53"/>
    <mergeCell ref="B59:H59"/>
    <mergeCell ref="B60:H60"/>
    <mergeCell ref="B61:H61"/>
    <mergeCell ref="B54:H54"/>
    <mergeCell ref="B55:H55"/>
    <mergeCell ref="B56:H56"/>
    <mergeCell ref="B57:H57"/>
    <mergeCell ref="B58:H58"/>
  </mergeCells>
  <pageMargins left="0.7" right="0.7" top="0.75" bottom="0.75" header="0.3" footer="0.3"/>
  <pageSetup scale="54" orientation="landscape" cellComments="atEnd"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PrintBag">
                <anchor moveWithCells="1" sizeWithCells="1">
                  <from>
                    <xdr:col>8</xdr:col>
                    <xdr:colOff>419100</xdr:colOff>
                    <xdr:row>38</xdr:row>
                    <xdr:rowOff>85725</xdr:rowOff>
                  </from>
                  <to>
                    <xdr:col>18</xdr:col>
                    <xdr:colOff>419100</xdr:colOff>
                    <xdr:row>39</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EB551-7E3E-481F-A020-B887E8B9BD89}">
  <sheetPr codeName="Sheet2">
    <pageSetUpPr fitToPage="1"/>
  </sheetPr>
  <dimension ref="A1:T69"/>
  <sheetViews>
    <sheetView zoomScale="106" zoomScaleNormal="106" workbookViewId="0">
      <selection activeCell="C53" sqref="C53"/>
    </sheetView>
  </sheetViews>
  <sheetFormatPr defaultColWidth="9.140625" defaultRowHeight="15" x14ac:dyDescent="0.25"/>
  <cols>
    <col min="1" max="1" width="35.5703125" style="19" customWidth="1"/>
    <col min="2" max="2" width="16.85546875" style="19" bestFit="1" customWidth="1"/>
    <col min="3" max="3" width="19.5703125" style="19" bestFit="1" customWidth="1"/>
    <col min="4" max="4" width="16.7109375" style="19" bestFit="1" customWidth="1"/>
    <col min="5" max="5" width="16.140625" style="19" bestFit="1" customWidth="1"/>
    <col min="6" max="6" width="16.5703125" style="19" bestFit="1" customWidth="1"/>
    <col min="7" max="7" width="15.5703125" style="19" bestFit="1" customWidth="1"/>
    <col min="8" max="8" width="16.5703125" style="19" customWidth="1"/>
    <col min="9" max="9" width="17.42578125" style="19" customWidth="1"/>
    <col min="10" max="10" width="17.42578125" style="19" bestFit="1" customWidth="1"/>
    <col min="11" max="11" width="19.7109375" style="19" customWidth="1"/>
    <col min="12" max="12" width="22.7109375" style="19" customWidth="1"/>
    <col min="13" max="13" width="30.28515625" style="19" customWidth="1"/>
    <col min="14" max="14" width="34.42578125" style="19" hidden="1" customWidth="1"/>
    <col min="15" max="15" width="29.5703125" style="19" hidden="1" customWidth="1"/>
    <col min="16" max="16" width="31.42578125" style="19" hidden="1" customWidth="1"/>
    <col min="17" max="17" width="34.85546875" style="19" hidden="1" customWidth="1"/>
    <col min="18" max="18" width="21.140625" style="19" hidden="1" customWidth="1"/>
    <col min="19" max="20" width="9.140625" style="19" hidden="1" customWidth="1"/>
    <col min="21" max="21" width="9.140625" style="19" customWidth="1"/>
    <col min="22" max="16384" width="9.140625" style="19"/>
  </cols>
  <sheetData>
    <row r="1" spans="1:19" ht="30" customHeight="1" x14ac:dyDescent="0.5">
      <c r="A1" s="124" t="s">
        <v>224</v>
      </c>
      <c r="B1" s="124"/>
      <c r="C1" s="124"/>
      <c r="D1" s="124"/>
      <c r="E1" s="124"/>
      <c r="F1" s="124"/>
      <c r="G1" s="124"/>
    </row>
    <row r="2" spans="1:19" ht="20.45" customHeight="1" x14ac:dyDescent="0.5">
      <c r="A2" s="49" t="s">
        <v>245</v>
      </c>
      <c r="B2" s="55"/>
      <c r="C2" s="55"/>
      <c r="E2" s="138" t="s">
        <v>246</v>
      </c>
      <c r="F2" s="140"/>
      <c r="G2" s="140"/>
      <c r="I2" s="138" t="s">
        <v>244</v>
      </c>
      <c r="O2" s="36" t="s">
        <v>115</v>
      </c>
      <c r="P2" s="36" t="s">
        <v>208</v>
      </c>
      <c r="Q2" s="36" t="s">
        <v>104</v>
      </c>
      <c r="R2" s="36" t="s">
        <v>105</v>
      </c>
    </row>
    <row r="3" spans="1:19" x14ac:dyDescent="0.25">
      <c r="F3" s="88" t="s">
        <v>197</v>
      </c>
      <c r="I3" s="17" t="s">
        <v>126</v>
      </c>
      <c r="J3" s="1" t="s">
        <v>101</v>
      </c>
      <c r="K3" s="36" t="s">
        <v>98</v>
      </c>
      <c r="L3" s="36" t="s">
        <v>102</v>
      </c>
      <c r="N3" s="19" t="s">
        <v>192</v>
      </c>
      <c r="O3" s="28">
        <f>(J4-L4)*($B$13/(1-(1+$B$13)^-K4))+(L4*$B$13)</f>
        <v>553.93774657837741</v>
      </c>
      <c r="P3" s="28">
        <f>(J4+L4)/2*B15</f>
        <v>97.65</v>
      </c>
      <c r="Q3" s="28">
        <f>(J4+L4)/2*$B$14</f>
        <v>48.825000000000003</v>
      </c>
      <c r="R3" s="82" t="s">
        <v>93</v>
      </c>
      <c r="S3" s="21"/>
    </row>
    <row r="4" spans="1:19" x14ac:dyDescent="0.25">
      <c r="A4" s="19" t="s">
        <v>199</v>
      </c>
      <c r="B4" s="23">
        <v>80000</v>
      </c>
      <c r="C4" s="113" t="s">
        <v>248</v>
      </c>
      <c r="E4" s="34" t="s">
        <v>198</v>
      </c>
      <c r="F4" s="89">
        <v>99123.21</v>
      </c>
      <c r="G4" s="4"/>
      <c r="I4" s="68" t="s">
        <v>191</v>
      </c>
      <c r="J4" s="41">
        <v>4650</v>
      </c>
      <c r="K4" s="20">
        <v>10</v>
      </c>
      <c r="L4" s="144">
        <f>J4*0.05</f>
        <v>232.5</v>
      </c>
      <c r="N4" s="18" t="s">
        <v>190</v>
      </c>
      <c r="O4" s="28">
        <f>(J5-L5)*($B$13/(1-(1+$B$13)^-K5))+(L5*$B$13)</f>
        <v>2373.5934624890688</v>
      </c>
      <c r="P4" s="28">
        <f>(J5+L5)/2*B15</f>
        <v>418.42500000000001</v>
      </c>
      <c r="Q4" s="28">
        <f>(J5+L5)/2*$B$14</f>
        <v>209.21250000000001</v>
      </c>
      <c r="R4" s="48" t="s">
        <v>93</v>
      </c>
      <c r="S4" s="21"/>
    </row>
    <row r="5" spans="1:19" x14ac:dyDescent="0.25">
      <c r="E5" s="34" t="s">
        <v>33</v>
      </c>
      <c r="F5" s="89">
        <v>38618.14</v>
      </c>
      <c r="G5"/>
      <c r="I5" s="68" t="s">
        <v>190</v>
      </c>
      <c r="J5" s="144">
        <v>19925</v>
      </c>
      <c r="K5" s="20">
        <v>10</v>
      </c>
      <c r="L5" s="41">
        <f>J5*0.05</f>
        <v>996.25</v>
      </c>
      <c r="N5" s="18" t="s">
        <v>24</v>
      </c>
      <c r="O5" s="28">
        <f>((J6-L6)*($B$13/(1-(1+$B$13)^-K6))+(L6*$B$13))*K10</f>
        <v>537.16132713309548</v>
      </c>
      <c r="P5" s="28">
        <f>(J6+L6)/2*B15*K10</f>
        <v>135</v>
      </c>
      <c r="Q5" s="28">
        <f>((J6+L6)/2*$B$14)*K10</f>
        <v>67.5</v>
      </c>
      <c r="R5" s="48">
        <f>(0.06*J9*0.73*((B21+B22)*B11)*1.15)</f>
        <v>2408.08896</v>
      </c>
    </row>
    <row r="6" spans="1:19" x14ac:dyDescent="0.25">
      <c r="B6" s="36" t="s">
        <v>87</v>
      </c>
      <c r="C6" s="36" t="s">
        <v>1</v>
      </c>
      <c r="E6" s="34" t="s">
        <v>34</v>
      </c>
      <c r="F6" s="89">
        <v>15129.1</v>
      </c>
      <c r="G6"/>
      <c r="I6" s="68" t="s">
        <v>24</v>
      </c>
      <c r="J6" s="41">
        <v>125000</v>
      </c>
      <c r="K6" s="20">
        <v>15</v>
      </c>
      <c r="L6" s="41">
        <v>10000</v>
      </c>
      <c r="N6" s="18" t="s">
        <v>32</v>
      </c>
      <c r="O6" s="28">
        <f>((J7-L7)*($B$13/(1-(1+$B$13)^-K7))+(L7*$B$13))</f>
        <v>12855.763811503373</v>
      </c>
      <c r="P6" s="28">
        <f>(J7+L7)/2*B16</f>
        <v>1004.16885</v>
      </c>
      <c r="Q6" s="28">
        <f>((J6+L6)/2*$B$14)*K10</f>
        <v>67.5</v>
      </c>
      <c r="R6" s="48" t="s">
        <v>93</v>
      </c>
    </row>
    <row r="7" spans="1:19" ht="15" customHeight="1" x14ac:dyDescent="0.25">
      <c r="A7" s="27" t="s">
        <v>250</v>
      </c>
      <c r="B7" s="45">
        <v>5</v>
      </c>
      <c r="C7" s="24" t="s">
        <v>119</v>
      </c>
      <c r="E7" s="76" t="s">
        <v>35</v>
      </c>
      <c r="F7" s="89">
        <v>13246.02</v>
      </c>
      <c r="G7"/>
      <c r="I7" s="68" t="s">
        <v>32</v>
      </c>
      <c r="J7" s="39">
        <f>G17</f>
        <v>200833.77</v>
      </c>
      <c r="K7" s="20">
        <v>25</v>
      </c>
      <c r="L7" s="41">
        <v>0</v>
      </c>
      <c r="N7" s="31" t="s">
        <v>14</v>
      </c>
      <c r="O7" s="28">
        <f>SUM(O3:O6)</f>
        <v>16320.456347703916</v>
      </c>
      <c r="P7" s="28">
        <f>SUM(P3:P6)</f>
        <v>1655.2438500000001</v>
      </c>
      <c r="Q7" s="28">
        <f>SUM(Q3:Q6)</f>
        <v>393.03750000000002</v>
      </c>
      <c r="R7" s="28">
        <f>SUM(R3:R6)</f>
        <v>2408.08896</v>
      </c>
      <c r="S7" s="21"/>
    </row>
    <row r="8" spans="1:19" ht="15" customHeight="1" x14ac:dyDescent="0.25">
      <c r="A8" s="19" t="s">
        <v>200</v>
      </c>
      <c r="B8" s="93">
        <f>B4</f>
        <v>80000</v>
      </c>
      <c r="C8" s="24" t="s">
        <v>86</v>
      </c>
      <c r="E8" s="34" t="s">
        <v>36</v>
      </c>
      <c r="F8" s="89">
        <v>7293.18</v>
      </c>
      <c r="G8"/>
      <c r="J8" s="28"/>
      <c r="K8" s="113"/>
      <c r="L8" s="28"/>
    </row>
    <row r="9" spans="1:19" x14ac:dyDescent="0.25">
      <c r="A9" s="19" t="s">
        <v>170</v>
      </c>
      <c r="B9" s="39">
        <f>G17</f>
        <v>200833.77</v>
      </c>
      <c r="C9" s="24" t="s">
        <v>171</v>
      </c>
      <c r="E9" s="34" t="s">
        <v>37</v>
      </c>
      <c r="F9" s="89">
        <v>32000</v>
      </c>
      <c r="G9"/>
      <c r="I9" s="69" t="s">
        <v>120</v>
      </c>
      <c r="J9" s="60">
        <v>120</v>
      </c>
      <c r="O9" s="19" t="s">
        <v>144</v>
      </c>
      <c r="P9" s="19" t="s">
        <v>145</v>
      </c>
      <c r="Q9" s="19" t="s">
        <v>145</v>
      </c>
      <c r="R9" s="19" t="s">
        <v>144</v>
      </c>
    </row>
    <row r="10" spans="1:19" x14ac:dyDescent="0.25">
      <c r="A10" s="19" t="s">
        <v>88</v>
      </c>
      <c r="B10" s="29">
        <v>15.61</v>
      </c>
      <c r="C10" s="24" t="s">
        <v>89</v>
      </c>
      <c r="E10" s="34" t="s">
        <v>38</v>
      </c>
      <c r="F10" s="89">
        <v>3600</v>
      </c>
      <c r="G10"/>
      <c r="I10" s="127" t="s">
        <v>133</v>
      </c>
      <c r="J10" s="128"/>
      <c r="K10" s="30">
        <v>0.05</v>
      </c>
    </row>
    <row r="11" spans="1:19" x14ac:dyDescent="0.25">
      <c r="A11" s="19" t="s">
        <v>106</v>
      </c>
      <c r="B11" s="29">
        <v>2.4900000000000002</v>
      </c>
      <c r="C11" s="24" t="s">
        <v>107</v>
      </c>
      <c r="E11" s="34" t="s">
        <v>39</v>
      </c>
      <c r="F11" s="89">
        <v>-21676.21</v>
      </c>
      <c r="G11"/>
      <c r="H11" s="80"/>
    </row>
    <row r="12" spans="1:19" x14ac:dyDescent="0.25">
      <c r="A12" s="19" t="s">
        <v>123</v>
      </c>
      <c r="B12" s="30">
        <v>0.05</v>
      </c>
      <c r="C12" s="24" t="s">
        <v>90</v>
      </c>
      <c r="E12" s="34"/>
      <c r="F12" s="34" t="s">
        <v>41</v>
      </c>
      <c r="G12" s="90">
        <f>SUM(F4:F11)</f>
        <v>187333.44</v>
      </c>
      <c r="H12" s="80"/>
    </row>
    <row r="13" spans="1:19" x14ac:dyDescent="0.25">
      <c r="A13" s="19" t="s">
        <v>124</v>
      </c>
      <c r="B13" s="30">
        <v>0.04</v>
      </c>
      <c r="C13" s="24" t="s">
        <v>90</v>
      </c>
      <c r="E13" s="34"/>
      <c r="F13" s="34" t="s">
        <v>42</v>
      </c>
      <c r="G13" s="91">
        <v>10934</v>
      </c>
      <c r="H13" s="80"/>
      <c r="I13" s="57"/>
      <c r="J13" s="57"/>
      <c r="K13" s="57"/>
    </row>
    <row r="14" spans="1:19" x14ac:dyDescent="0.25">
      <c r="A14" s="19" t="s">
        <v>117</v>
      </c>
      <c r="B14" s="59">
        <v>0.02</v>
      </c>
      <c r="C14" s="24" t="s">
        <v>128</v>
      </c>
      <c r="E14" s="34"/>
      <c r="F14" s="34" t="s">
        <v>43</v>
      </c>
      <c r="G14" s="91">
        <v>566.33000000000004</v>
      </c>
      <c r="H14" s="80"/>
      <c r="I14" s="57"/>
      <c r="J14" s="58"/>
      <c r="K14" s="57"/>
      <c r="P14" s="141" t="s">
        <v>26</v>
      </c>
      <c r="Q14" s="142">
        <v>67719</v>
      </c>
      <c r="R14" s="142" t="s">
        <v>27</v>
      </c>
    </row>
    <row r="15" spans="1:19" x14ac:dyDescent="0.25">
      <c r="A15" s="27" t="s">
        <v>209</v>
      </c>
      <c r="B15" s="59">
        <v>0.04</v>
      </c>
      <c r="C15" s="24" t="s">
        <v>128</v>
      </c>
      <c r="E15" s="34"/>
      <c r="F15" s="34" t="s">
        <v>44</v>
      </c>
      <c r="G15" s="91">
        <v>500</v>
      </c>
      <c r="H15" s="80"/>
      <c r="I15" s="57"/>
      <c r="J15" s="58"/>
      <c r="K15" s="57"/>
      <c r="N15" s="19" t="s">
        <v>200</v>
      </c>
      <c r="P15" s="141" t="s">
        <v>29</v>
      </c>
      <c r="Q15" s="142">
        <v>80327</v>
      </c>
      <c r="R15" s="142" t="s">
        <v>27</v>
      </c>
    </row>
    <row r="16" spans="1:19" x14ac:dyDescent="0.25">
      <c r="A16" s="27" t="s">
        <v>210</v>
      </c>
      <c r="B16" s="30">
        <v>0.01</v>
      </c>
      <c r="C16" s="24" t="s">
        <v>128</v>
      </c>
      <c r="E16" s="34"/>
      <c r="F16" s="34" t="s">
        <v>211</v>
      </c>
      <c r="G16" s="91">
        <v>1500</v>
      </c>
      <c r="H16" s="80"/>
      <c r="I16" s="57"/>
      <c r="J16" s="57"/>
      <c r="K16" s="57"/>
      <c r="N16" s="92">
        <v>10000</v>
      </c>
    </row>
    <row r="17" spans="1:14" ht="15" customHeight="1" x14ac:dyDescent="0.25">
      <c r="A17" s="19" t="s">
        <v>91</v>
      </c>
      <c r="B17" s="30">
        <v>0.01</v>
      </c>
      <c r="C17" s="24" t="s">
        <v>90</v>
      </c>
      <c r="E17" s="34"/>
      <c r="F17" s="35" t="s">
        <v>189</v>
      </c>
      <c r="G17" s="90">
        <f>SUM(G12:G16)</f>
        <v>200833.77</v>
      </c>
      <c r="I17" s="57"/>
      <c r="J17" s="57"/>
      <c r="K17" s="57"/>
      <c r="N17" s="92">
        <v>20000</v>
      </c>
    </row>
    <row r="18" spans="1:14" ht="18.75" x14ac:dyDescent="0.3">
      <c r="A18" s="50" t="s">
        <v>247</v>
      </c>
      <c r="D18" s="86"/>
      <c r="E18" s="87"/>
      <c r="F18" s="87"/>
      <c r="G18" s="4"/>
      <c r="I18" s="57"/>
      <c r="J18" s="106"/>
      <c r="K18" s="106"/>
      <c r="L18"/>
      <c r="N18" s="92">
        <v>40000</v>
      </c>
    </row>
    <row r="19" spans="1:14" x14ac:dyDescent="0.25">
      <c r="A19" s="17" t="s">
        <v>111</v>
      </c>
      <c r="B19" s="88" t="s">
        <v>212</v>
      </c>
      <c r="C19" s="88" t="s">
        <v>1</v>
      </c>
      <c r="D19" s="88" t="s">
        <v>92</v>
      </c>
      <c r="E19" s="88" t="s">
        <v>1</v>
      </c>
      <c r="F19" s="88" t="s">
        <v>3</v>
      </c>
      <c r="G19" s="88" t="s">
        <v>119</v>
      </c>
      <c r="N19" s="92">
        <v>60000</v>
      </c>
    </row>
    <row r="20" spans="1:14" x14ac:dyDescent="0.25">
      <c r="A20" s="85" t="s">
        <v>225</v>
      </c>
      <c r="B20" s="38">
        <v>1</v>
      </c>
      <c r="C20" s="24" t="s">
        <v>175</v>
      </c>
      <c r="D20" s="47">
        <v>500</v>
      </c>
      <c r="E20" s="24" t="s">
        <v>171</v>
      </c>
      <c r="F20" s="63">
        <f>B20*D20</f>
        <v>500</v>
      </c>
      <c r="G20" s="26"/>
      <c r="N20" s="92">
        <v>80000</v>
      </c>
    </row>
    <row r="21" spans="1:14" x14ac:dyDescent="0.25">
      <c r="A21" s="85" t="s">
        <v>172</v>
      </c>
      <c r="B21" s="20">
        <v>80</v>
      </c>
      <c r="C21" s="24" t="s">
        <v>176</v>
      </c>
      <c r="D21" s="44">
        <f>B10</f>
        <v>15.61</v>
      </c>
      <c r="E21" s="24" t="s">
        <v>89</v>
      </c>
      <c r="F21" s="63">
        <f>B21*D21</f>
        <v>1248.8</v>
      </c>
      <c r="G21" s="26"/>
      <c r="H21" s="36"/>
      <c r="N21" s="82"/>
    </row>
    <row r="22" spans="1:14" x14ac:dyDescent="0.25">
      <c r="A22" s="85" t="s">
        <v>173</v>
      </c>
      <c r="B22" s="20">
        <v>80</v>
      </c>
      <c r="C22" s="24" t="s">
        <v>176</v>
      </c>
      <c r="D22" s="44">
        <f>B10</f>
        <v>15.61</v>
      </c>
      <c r="E22" s="24" t="s">
        <v>89</v>
      </c>
      <c r="F22" s="63">
        <f>B22*D22</f>
        <v>1248.8</v>
      </c>
      <c r="G22" s="26"/>
      <c r="H22" s="26"/>
    </row>
    <row r="23" spans="1:14" x14ac:dyDescent="0.25">
      <c r="A23" s="37" t="s">
        <v>214</v>
      </c>
      <c r="B23" s="39">
        <f>P7</f>
        <v>1655.2438500000001</v>
      </c>
      <c r="C23" s="24" t="s">
        <v>108</v>
      </c>
      <c r="D23" s="44" t="s">
        <v>93</v>
      </c>
      <c r="E23" s="24" t="s">
        <v>108</v>
      </c>
      <c r="F23" s="63">
        <f>B23</f>
        <v>1655.2438500000001</v>
      </c>
      <c r="G23" s="26"/>
      <c r="H23" s="26"/>
    </row>
    <row r="24" spans="1:14" x14ac:dyDescent="0.25">
      <c r="A24" s="37" t="s">
        <v>137</v>
      </c>
      <c r="B24" s="39">
        <f>R7</f>
        <v>2408.08896</v>
      </c>
      <c r="C24" s="24" t="s">
        <v>108</v>
      </c>
      <c r="D24" s="143" t="s">
        <v>93</v>
      </c>
      <c r="E24" s="24" t="s">
        <v>108</v>
      </c>
      <c r="F24" s="63">
        <f>B24</f>
        <v>2408.08896</v>
      </c>
      <c r="G24" s="26"/>
      <c r="H24" s="26"/>
    </row>
    <row r="25" spans="1:14" x14ac:dyDescent="0.25">
      <c r="A25" s="85" t="s">
        <v>8</v>
      </c>
      <c r="B25" s="20">
        <v>800</v>
      </c>
      <c r="C25" s="24" t="s">
        <v>242</v>
      </c>
      <c r="D25" s="45">
        <v>2</v>
      </c>
      <c r="E25" s="24" t="s">
        <v>243</v>
      </c>
      <c r="F25" s="63">
        <f>B25*D25</f>
        <v>1600</v>
      </c>
      <c r="G25" s="26"/>
      <c r="H25" s="26"/>
    </row>
    <row r="26" spans="1:14" x14ac:dyDescent="0.25">
      <c r="A26" s="85" t="s">
        <v>155</v>
      </c>
      <c r="B26" s="20">
        <v>8</v>
      </c>
      <c r="C26" s="24" t="s">
        <v>177</v>
      </c>
      <c r="D26" s="45">
        <v>15</v>
      </c>
      <c r="E26" s="24" t="s">
        <v>196</v>
      </c>
      <c r="F26" s="63">
        <f>B26*D26</f>
        <v>120</v>
      </c>
      <c r="G26" s="26"/>
      <c r="H26" s="26"/>
    </row>
    <row r="27" spans="1:14" x14ac:dyDescent="0.25">
      <c r="A27" s="85" t="s">
        <v>174</v>
      </c>
      <c r="B27" s="20">
        <v>1</v>
      </c>
      <c r="C27" s="24" t="s">
        <v>176</v>
      </c>
      <c r="D27" s="45">
        <f>B10</f>
        <v>15.61</v>
      </c>
      <c r="E27" s="24" t="s">
        <v>89</v>
      </c>
      <c r="F27" s="63">
        <f>B27*D27</f>
        <v>15.61</v>
      </c>
      <c r="G27" s="26"/>
      <c r="H27" s="26"/>
    </row>
    <row r="28" spans="1:14" x14ac:dyDescent="0.25">
      <c r="A28" s="85" t="s">
        <v>129</v>
      </c>
      <c r="B28" s="33"/>
      <c r="C28" s="58"/>
      <c r="D28" s="61"/>
      <c r="F28" s="63">
        <f>SUM(F20:F27)*0.5*B12</f>
        <v>219.91357025000002</v>
      </c>
      <c r="G28" s="145"/>
      <c r="H28" s="26"/>
    </row>
    <row r="29" spans="1:14" x14ac:dyDescent="0.25">
      <c r="A29" s="17" t="s">
        <v>112</v>
      </c>
      <c r="C29" s="17"/>
      <c r="D29" s="82"/>
      <c r="F29" s="66">
        <f>SUM(F20:F28)</f>
        <v>9016.4563802500015</v>
      </c>
      <c r="G29" s="110">
        <f>F29/B8</f>
        <v>0.11270570475312502</v>
      </c>
      <c r="H29" s="26"/>
    </row>
    <row r="30" spans="1:14" x14ac:dyDescent="0.25">
      <c r="A30" s="17" t="s">
        <v>109</v>
      </c>
      <c r="C30" s="17"/>
      <c r="D30" s="82"/>
      <c r="E30" s="40"/>
      <c r="G30" s="146"/>
      <c r="H30" s="78"/>
    </row>
    <row r="31" spans="1:14" x14ac:dyDescent="0.25">
      <c r="A31" s="81" t="s">
        <v>116</v>
      </c>
      <c r="B31" s="81"/>
      <c r="C31" s="85"/>
      <c r="D31" s="82"/>
      <c r="F31" s="63">
        <f>O7</f>
        <v>16320.456347703916</v>
      </c>
      <c r="G31" s="147"/>
    </row>
    <row r="32" spans="1:14" x14ac:dyDescent="0.25">
      <c r="A32" s="81" t="s">
        <v>222</v>
      </c>
      <c r="B32" s="81"/>
      <c r="C32" s="82"/>
      <c r="D32" s="82"/>
      <c r="F32" s="63">
        <f>Q7</f>
        <v>393.03750000000002</v>
      </c>
      <c r="G32" s="146"/>
    </row>
    <row r="33" spans="1:10" x14ac:dyDescent="0.25">
      <c r="A33" s="17" t="s">
        <v>110</v>
      </c>
      <c r="C33" s="88"/>
      <c r="D33" s="82"/>
      <c r="F33" s="66">
        <f>SUM(F31:F32)</f>
        <v>16713.493847703914</v>
      </c>
      <c r="G33" s="110">
        <f>F33/B8</f>
        <v>0.20891867309629891</v>
      </c>
      <c r="H33" s="25"/>
    </row>
    <row r="34" spans="1:10" ht="15.6" customHeight="1" x14ac:dyDescent="0.25">
      <c r="A34" s="17" t="s">
        <v>121</v>
      </c>
      <c r="C34" s="88"/>
      <c r="D34" s="82"/>
      <c r="F34" s="66">
        <f>B8*B7*B17</f>
        <v>4000</v>
      </c>
      <c r="G34" s="110">
        <f>F34/B8</f>
        <v>0.05</v>
      </c>
      <c r="H34" s="78"/>
    </row>
    <row r="35" spans="1:10" ht="18.75" x14ac:dyDescent="0.3">
      <c r="A35" s="51" t="s">
        <v>125</v>
      </c>
      <c r="B35" s="52"/>
      <c r="C35" s="53"/>
      <c r="D35" s="54"/>
      <c r="F35" s="67">
        <f>F33+F29+F34</f>
        <v>29729.950227953916</v>
      </c>
      <c r="G35" s="139">
        <f>F35/B8</f>
        <v>0.37162437784942393</v>
      </c>
      <c r="H35" s="78"/>
    </row>
    <row r="36" spans="1:10" x14ac:dyDescent="0.25">
      <c r="A36" s="17"/>
      <c r="B36" s="42"/>
      <c r="C36" s="88"/>
      <c r="H36" s="21"/>
    </row>
    <row r="37" spans="1:10" ht="18.75" x14ac:dyDescent="0.3">
      <c r="A37" s="57" t="s">
        <v>127</v>
      </c>
      <c r="H37" s="79"/>
    </row>
    <row r="38" spans="1:10" x14ac:dyDescent="0.25">
      <c r="A38" s="72" t="s">
        <v>142</v>
      </c>
      <c r="B38" s="1" t="s">
        <v>143</v>
      </c>
      <c r="D38" s="82"/>
      <c r="E38" s="82"/>
      <c r="F38" s="82"/>
      <c r="G38" s="82"/>
    </row>
    <row r="39" spans="1:10" x14ac:dyDescent="0.25">
      <c r="A39" s="73" t="s">
        <v>178</v>
      </c>
      <c r="B39" s="85" t="s">
        <v>249</v>
      </c>
      <c r="C39" s="85"/>
      <c r="D39" s="85"/>
      <c r="E39" s="85"/>
      <c r="F39" s="85"/>
      <c r="G39" s="85"/>
    </row>
    <row r="40" spans="1:10" x14ac:dyDescent="0.25">
      <c r="A40" s="37" t="s">
        <v>179</v>
      </c>
      <c r="B40" s="81" t="s">
        <v>231</v>
      </c>
      <c r="C40" s="81"/>
      <c r="D40" s="81"/>
      <c r="E40" s="81"/>
      <c r="F40" s="81"/>
      <c r="G40" s="81"/>
    </row>
    <row r="41" spans="1:10" x14ac:dyDescent="0.25">
      <c r="A41" s="37" t="s">
        <v>180</v>
      </c>
      <c r="B41" s="81" t="s">
        <v>230</v>
      </c>
      <c r="C41" s="81"/>
      <c r="D41" s="81"/>
      <c r="E41" s="81"/>
      <c r="F41" s="81"/>
      <c r="G41" s="81"/>
      <c r="H41" s="18"/>
      <c r="J41" s="36"/>
    </row>
    <row r="42" spans="1:10" x14ac:dyDescent="0.25">
      <c r="A42" s="37" t="s">
        <v>148</v>
      </c>
      <c r="B42" s="83" t="s">
        <v>205</v>
      </c>
      <c r="C42" s="83"/>
      <c r="D42" s="83"/>
      <c r="E42" s="83"/>
      <c r="F42" s="83"/>
      <c r="G42" s="83"/>
      <c r="H42" s="62"/>
      <c r="J42" s="36"/>
    </row>
    <row r="43" spans="1:10" x14ac:dyDescent="0.25">
      <c r="A43" s="37" t="s">
        <v>149</v>
      </c>
      <c r="B43" s="83" t="s">
        <v>206</v>
      </c>
      <c r="C43" s="83"/>
      <c r="D43" s="83"/>
      <c r="E43" s="83"/>
      <c r="F43" s="83"/>
      <c r="G43" s="83"/>
      <c r="H43" s="62"/>
      <c r="J43" s="36"/>
    </row>
    <row r="44" spans="1:10" x14ac:dyDescent="0.25">
      <c r="A44" s="37" t="s">
        <v>150</v>
      </c>
      <c r="B44" s="81" t="s">
        <v>268</v>
      </c>
      <c r="C44" s="81"/>
      <c r="D44" s="81"/>
      <c r="E44" s="81"/>
      <c r="F44" s="81"/>
      <c r="G44" s="81"/>
      <c r="H44" s="71"/>
      <c r="J44" s="36"/>
    </row>
    <row r="45" spans="1:10" x14ac:dyDescent="0.25">
      <c r="A45" s="37" t="s">
        <v>151</v>
      </c>
      <c r="B45" s="81" t="s">
        <v>268</v>
      </c>
      <c r="C45" s="81"/>
      <c r="D45" s="81"/>
      <c r="E45" s="81"/>
      <c r="F45" s="81"/>
      <c r="G45" s="81"/>
      <c r="H45" s="71"/>
      <c r="J45" s="36"/>
    </row>
    <row r="46" spans="1:10" ht="14.25" customHeight="1" x14ac:dyDescent="0.25">
      <c r="A46" s="37" t="s">
        <v>153</v>
      </c>
      <c r="B46" s="84" t="s">
        <v>181</v>
      </c>
      <c r="C46" s="84"/>
      <c r="D46" s="84"/>
      <c r="E46" s="84"/>
      <c r="F46" s="84"/>
      <c r="G46" s="84"/>
      <c r="H46" s="62"/>
    </row>
    <row r="47" spans="1:10" ht="15" customHeight="1" x14ac:dyDescent="0.25">
      <c r="A47" s="37" t="s">
        <v>238</v>
      </c>
      <c r="B47" s="81" t="s">
        <v>254</v>
      </c>
      <c r="C47" s="81"/>
      <c r="D47" s="81"/>
      <c r="E47" s="81"/>
      <c r="F47" s="81"/>
      <c r="G47" s="81"/>
      <c r="H47" s="62"/>
    </row>
    <row r="48" spans="1:10" ht="15" customHeight="1" x14ac:dyDescent="0.25">
      <c r="A48" s="37" t="s">
        <v>239</v>
      </c>
      <c r="B48" s="81" t="s">
        <v>255</v>
      </c>
      <c r="C48" s="81"/>
      <c r="D48" s="81"/>
      <c r="E48" s="81"/>
      <c r="F48" s="81"/>
      <c r="G48" s="81"/>
      <c r="H48" s="75"/>
    </row>
    <row r="49" spans="1:9" ht="15" customHeight="1" x14ac:dyDescent="0.25">
      <c r="A49" s="37" t="s">
        <v>240</v>
      </c>
      <c r="B49" s="81" t="s">
        <v>182</v>
      </c>
      <c r="C49" s="81"/>
      <c r="D49" s="81"/>
      <c r="E49" s="81"/>
      <c r="F49" s="81"/>
      <c r="G49" s="81"/>
      <c r="H49" s="62"/>
    </row>
    <row r="50" spans="1:9" ht="15" customHeight="1" x14ac:dyDescent="0.25">
      <c r="A50" s="37" t="s">
        <v>251</v>
      </c>
      <c r="B50" s="81" t="s">
        <v>183</v>
      </c>
      <c r="C50" s="81"/>
      <c r="D50" s="81"/>
      <c r="E50" s="81"/>
      <c r="F50" s="81"/>
      <c r="G50" s="81"/>
      <c r="H50" s="62"/>
    </row>
    <row r="51" spans="1:9" ht="15" customHeight="1" x14ac:dyDescent="0.25">
      <c r="A51" s="37" t="s">
        <v>252</v>
      </c>
      <c r="B51" s="81" t="s">
        <v>184</v>
      </c>
      <c r="C51" s="81"/>
      <c r="D51" s="81"/>
      <c r="E51" s="81"/>
      <c r="F51" s="81"/>
      <c r="G51" s="81"/>
      <c r="H51" s="62"/>
      <c r="I51" s="21"/>
    </row>
    <row r="52" spans="1:9" x14ac:dyDescent="0.25">
      <c r="A52" s="37" t="s">
        <v>157</v>
      </c>
      <c r="B52" s="81" t="s">
        <v>256</v>
      </c>
      <c r="C52" s="81"/>
      <c r="D52" s="81"/>
      <c r="E52" s="81"/>
      <c r="F52" s="81"/>
      <c r="G52" s="81"/>
      <c r="H52" s="62"/>
    </row>
    <row r="53" spans="1:9" x14ac:dyDescent="0.25">
      <c r="A53" s="37" t="s">
        <v>253</v>
      </c>
      <c r="B53" s="112" t="s">
        <v>269</v>
      </c>
      <c r="C53" s="112"/>
      <c r="D53" s="112"/>
      <c r="E53" s="112"/>
      <c r="F53" s="112"/>
      <c r="G53" s="112"/>
      <c r="H53" s="112"/>
    </row>
    <row r="54" spans="1:9" x14ac:dyDescent="0.25">
      <c r="A54" s="37" t="s">
        <v>257</v>
      </c>
      <c r="B54" s="81" t="s">
        <v>259</v>
      </c>
      <c r="C54" s="81"/>
      <c r="D54" s="81"/>
      <c r="E54" s="81"/>
      <c r="F54" s="81"/>
      <c r="G54" s="81"/>
      <c r="H54" s="62"/>
    </row>
    <row r="55" spans="1:9" x14ac:dyDescent="0.25">
      <c r="A55" s="37" t="s">
        <v>193</v>
      </c>
      <c r="B55" s="81" t="s">
        <v>260</v>
      </c>
      <c r="C55" s="81"/>
      <c r="D55" s="81"/>
      <c r="E55" s="81"/>
      <c r="F55" s="81"/>
      <c r="G55" s="81"/>
      <c r="H55" s="62"/>
    </row>
    <row r="56" spans="1:9" x14ac:dyDescent="0.25">
      <c r="A56" s="37" t="s">
        <v>194</v>
      </c>
      <c r="B56" s="81" t="s">
        <v>261</v>
      </c>
      <c r="C56" s="81"/>
      <c r="D56" s="81"/>
      <c r="E56" s="81"/>
      <c r="F56" s="81"/>
      <c r="G56" s="81"/>
      <c r="H56" s="62"/>
    </row>
    <row r="57" spans="1:9" x14ac:dyDescent="0.25">
      <c r="A57" s="37" t="s">
        <v>195</v>
      </c>
      <c r="B57" s="81" t="s">
        <v>258</v>
      </c>
      <c r="C57" s="81"/>
      <c r="D57" s="81"/>
      <c r="E57" s="81"/>
      <c r="F57" s="81"/>
      <c r="G57" s="81"/>
      <c r="H57" s="74"/>
    </row>
    <row r="58" spans="1:9" x14ac:dyDescent="0.25">
      <c r="A58" s="37" t="s">
        <v>262</v>
      </c>
      <c r="B58" s="81" t="s">
        <v>158</v>
      </c>
      <c r="C58" s="81"/>
      <c r="D58" s="81"/>
      <c r="E58" s="81"/>
      <c r="F58" s="81"/>
      <c r="G58" s="81"/>
      <c r="H58" s="62"/>
    </row>
    <row r="59" spans="1:9" x14ac:dyDescent="0.25">
      <c r="A59" s="37" t="s">
        <v>185</v>
      </c>
      <c r="B59" s="81" t="s">
        <v>207</v>
      </c>
      <c r="C59" s="81"/>
      <c r="D59" s="81"/>
      <c r="E59" s="81"/>
      <c r="F59" s="81"/>
      <c r="G59" s="81"/>
      <c r="H59" s="62"/>
    </row>
    <row r="60" spans="1:9" x14ac:dyDescent="0.25">
      <c r="A60" s="37" t="s">
        <v>263</v>
      </c>
      <c r="B60" s="81" t="s">
        <v>187</v>
      </c>
      <c r="C60" s="81"/>
      <c r="D60" s="81"/>
      <c r="E60" s="81"/>
      <c r="F60" s="81"/>
      <c r="G60" s="81"/>
      <c r="H60" s="62"/>
    </row>
    <row r="61" spans="1:9" x14ac:dyDescent="0.25">
      <c r="A61" s="37" t="s">
        <v>186</v>
      </c>
      <c r="B61" s="81" t="s">
        <v>188</v>
      </c>
      <c r="C61" s="81"/>
      <c r="D61" s="81"/>
      <c r="E61" s="81"/>
      <c r="F61" s="81"/>
      <c r="G61" s="81"/>
      <c r="H61" s="62"/>
    </row>
    <row r="62" spans="1:9" x14ac:dyDescent="0.25">
      <c r="A62" s="81" t="s">
        <v>264</v>
      </c>
      <c r="B62" s="81" t="s">
        <v>268</v>
      </c>
      <c r="C62" s="81"/>
      <c r="D62" s="81"/>
      <c r="E62" s="81"/>
      <c r="F62" s="81"/>
      <c r="G62" s="81"/>
      <c r="H62" s="62"/>
    </row>
    <row r="63" spans="1:9" x14ac:dyDescent="0.25">
      <c r="A63" s="37" t="s">
        <v>265</v>
      </c>
      <c r="B63" s="81" t="s">
        <v>166</v>
      </c>
      <c r="C63" s="81"/>
      <c r="D63" s="81"/>
      <c r="E63" s="81"/>
      <c r="F63" s="81"/>
      <c r="G63" s="81"/>
      <c r="H63" s="62"/>
    </row>
    <row r="64" spans="1:9" x14ac:dyDescent="0.25">
      <c r="A64" s="37" t="s">
        <v>266</v>
      </c>
      <c r="B64" s="81" t="s">
        <v>166</v>
      </c>
      <c r="C64" s="81"/>
      <c r="D64" s="81"/>
      <c r="E64" s="81"/>
      <c r="F64" s="81"/>
      <c r="G64" s="81"/>
      <c r="H64" s="62"/>
    </row>
    <row r="65" spans="1:8" x14ac:dyDescent="0.25">
      <c r="A65" s="37" t="s">
        <v>267</v>
      </c>
      <c r="B65" s="81" t="s">
        <v>268</v>
      </c>
      <c r="C65" s="81"/>
      <c r="D65" s="81"/>
      <c r="E65" s="81"/>
      <c r="F65" s="81"/>
      <c r="G65" s="81"/>
      <c r="H65" s="62"/>
    </row>
    <row r="66" spans="1:8" x14ac:dyDescent="0.25">
      <c r="D66" s="62"/>
      <c r="E66" s="62"/>
      <c r="F66" s="62"/>
      <c r="G66" s="62"/>
      <c r="H66" s="62"/>
    </row>
    <row r="67" spans="1:8" x14ac:dyDescent="0.25">
      <c r="D67" s="62"/>
      <c r="E67" s="62"/>
      <c r="F67" s="62"/>
      <c r="G67" s="62"/>
      <c r="H67" s="62"/>
    </row>
    <row r="68" spans="1:8" x14ac:dyDescent="0.25">
      <c r="H68" s="62"/>
    </row>
    <row r="69" spans="1:8" x14ac:dyDescent="0.25">
      <c r="H69" s="62"/>
    </row>
  </sheetData>
  <mergeCells count="2">
    <mergeCell ref="A1:G1"/>
    <mergeCell ref="I10:J10"/>
  </mergeCells>
  <dataValidations count="1">
    <dataValidation type="list" allowBlank="1" showInputMessage="1" showErrorMessage="1" sqref="B4" xr:uid="{5F4E5EFA-FA5F-4066-A55E-5865E14E1FE8}">
      <formula1>$N$16:$N$20</formula1>
    </dataValidation>
  </dataValidations>
  <pageMargins left="0.7" right="0.7" top="0.75" bottom="0.75" header="0.3" footer="0.3"/>
  <pageSetup scale="51" orientation="landscape" cellComments="atEnd"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rintBin">
                <anchor moveWithCells="1" sizeWithCells="1">
                  <from>
                    <xdr:col>7</xdr:col>
                    <xdr:colOff>295275</xdr:colOff>
                    <xdr:row>33</xdr:row>
                    <xdr:rowOff>95250</xdr:rowOff>
                  </from>
                  <to>
                    <xdr:col>8</xdr:col>
                    <xdr:colOff>333375</xdr:colOff>
                    <xdr:row>34</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B0273-BC92-4A77-8C00-10819431A12C}">
  <sheetPr codeName="Sheet3"/>
  <dimension ref="A2:I27"/>
  <sheetViews>
    <sheetView workbookViewId="0">
      <selection activeCell="I26" sqref="I26:I27"/>
    </sheetView>
  </sheetViews>
  <sheetFormatPr defaultRowHeight="15" x14ac:dyDescent="0.25"/>
  <cols>
    <col min="1" max="1" width="13.140625" bestFit="1" customWidth="1"/>
    <col min="2" max="2" width="23.7109375" bestFit="1" customWidth="1"/>
    <col min="3" max="3" width="16.85546875" style="95" bestFit="1" customWidth="1"/>
    <col min="4" max="4" width="14" style="95" bestFit="1" customWidth="1"/>
    <col min="5" max="7" width="11.5703125" style="95" bestFit="1" customWidth="1"/>
    <col min="9" max="9" width="10.5703125" style="100" bestFit="1" customWidth="1"/>
  </cols>
  <sheetData>
    <row r="2" spans="2:9" x14ac:dyDescent="0.25">
      <c r="B2" s="98" t="s">
        <v>202</v>
      </c>
      <c r="C2" s="99">
        <v>10000</v>
      </c>
      <c r="D2" s="99">
        <v>20000</v>
      </c>
      <c r="E2" s="99">
        <v>40000</v>
      </c>
      <c r="F2" s="99">
        <v>60000</v>
      </c>
      <c r="G2" s="99">
        <v>80000</v>
      </c>
    </row>
    <row r="3" spans="2:9" x14ac:dyDescent="0.25">
      <c r="B3" s="94" t="s">
        <v>32</v>
      </c>
      <c r="C3" s="96">
        <v>18246.830000000002</v>
      </c>
      <c r="D3" s="96">
        <v>32993.769999999997</v>
      </c>
      <c r="E3" s="96">
        <v>56218.81</v>
      </c>
      <c r="F3" s="96">
        <v>85802.57</v>
      </c>
      <c r="G3" s="96">
        <v>99123.21</v>
      </c>
      <c r="I3" s="101">
        <f>HLOOKUP(+Bin!$B$4,$B$2:$G$27,2,FALSE)</f>
        <v>99123.21</v>
      </c>
    </row>
    <row r="4" spans="2:9" x14ac:dyDescent="0.25">
      <c r="B4" s="94" t="s">
        <v>33</v>
      </c>
      <c r="C4" s="96">
        <v>6153.84</v>
      </c>
      <c r="D4" s="96">
        <v>10617.22</v>
      </c>
      <c r="E4" s="96">
        <v>19681.72</v>
      </c>
      <c r="F4" s="96">
        <v>31608.74</v>
      </c>
      <c r="G4" s="96">
        <v>38618.14</v>
      </c>
      <c r="I4" s="101">
        <f>HLOOKUP(+Bin!$B$4,$B$2:$G$27,3,FALSE)</f>
        <v>38618.14</v>
      </c>
    </row>
    <row r="5" spans="2:9" x14ac:dyDescent="0.25">
      <c r="B5" s="94" t="s">
        <v>34</v>
      </c>
      <c r="C5" s="96">
        <v>4053.91</v>
      </c>
      <c r="D5" s="96">
        <v>4629.97</v>
      </c>
      <c r="E5" s="96">
        <v>9729.16</v>
      </c>
      <c r="F5" s="96">
        <v>9109.01</v>
      </c>
      <c r="G5" s="96">
        <v>15129.1</v>
      </c>
      <c r="I5" s="101">
        <f>HLOOKUP(+Bin!$B$4,$B$2:$G$27,4,FALSE)</f>
        <v>15129.1</v>
      </c>
    </row>
    <row r="6" spans="2:9" ht="15" customHeight="1" x14ac:dyDescent="0.25">
      <c r="B6" s="94" t="s">
        <v>35</v>
      </c>
      <c r="C6" s="96">
        <v>5410.93</v>
      </c>
      <c r="D6" s="96">
        <v>6069.28</v>
      </c>
      <c r="E6" s="96">
        <v>7087.41</v>
      </c>
      <c r="F6" s="96">
        <v>12660.91</v>
      </c>
      <c r="G6" s="96">
        <v>13246.02</v>
      </c>
      <c r="I6" s="101">
        <f>HLOOKUP(+Bin!$B$4,$B$2:$G$27,5,FALSE)</f>
        <v>13246.02</v>
      </c>
    </row>
    <row r="7" spans="2:9" ht="15" customHeight="1" x14ac:dyDescent="0.25">
      <c r="B7" s="94" t="s">
        <v>36</v>
      </c>
      <c r="C7" s="96">
        <v>7166.22</v>
      </c>
      <c r="D7" s="96">
        <v>5390.89</v>
      </c>
      <c r="E7" s="96">
        <v>6334.42</v>
      </c>
      <c r="F7" s="96">
        <v>6989.6</v>
      </c>
      <c r="G7" s="96">
        <v>7293.18</v>
      </c>
      <c r="I7" s="101">
        <f>HLOOKUP(+Bin!$B$4,$B$2:$G$27,6,FALSE)</f>
        <v>7293.18</v>
      </c>
    </row>
    <row r="8" spans="2:9" x14ac:dyDescent="0.25">
      <c r="B8" s="94" t="s">
        <v>37</v>
      </c>
      <c r="C8" s="96">
        <v>12900</v>
      </c>
      <c r="D8" s="96">
        <v>11000</v>
      </c>
      <c r="E8" s="96">
        <v>18200</v>
      </c>
      <c r="F8" s="96">
        <v>26000</v>
      </c>
      <c r="G8" s="96">
        <v>32000</v>
      </c>
      <c r="I8" s="101">
        <f>HLOOKUP(+Bin!$B$4,$B$2:$G$27,7,FALSE)</f>
        <v>32000</v>
      </c>
    </row>
    <row r="9" spans="2:9" x14ac:dyDescent="0.25">
      <c r="B9" s="94" t="s">
        <v>38</v>
      </c>
      <c r="C9" s="96">
        <v>1900</v>
      </c>
      <c r="D9" s="96">
        <v>1800</v>
      </c>
      <c r="E9" s="96">
        <v>1800</v>
      </c>
      <c r="F9" s="96">
        <v>3600</v>
      </c>
      <c r="G9" s="96">
        <v>3600</v>
      </c>
      <c r="I9" s="101">
        <f>HLOOKUP(+Bin!$B$4,$B$2:$G$27,8,FALSE)</f>
        <v>3600</v>
      </c>
    </row>
    <row r="10" spans="2:9" x14ac:dyDescent="0.25">
      <c r="B10" s="94" t="s">
        <v>39</v>
      </c>
      <c r="C10" s="96">
        <v>-5128.8900000000003</v>
      </c>
      <c r="D10" s="96">
        <v>-7462.64</v>
      </c>
      <c r="E10" s="96">
        <v>-12381.44</v>
      </c>
      <c r="F10" s="96">
        <v>-18271.349999999999</v>
      </c>
      <c r="G10" s="96">
        <v>-21676.21</v>
      </c>
      <c r="I10" s="102">
        <f>HLOOKUP(+Bin!$B$4,$B$2:$G$27,9,FALSE)</f>
        <v>-21676.21</v>
      </c>
    </row>
    <row r="11" spans="2:9" x14ac:dyDescent="0.25">
      <c r="B11" s="94" t="s">
        <v>41</v>
      </c>
      <c r="C11" s="97">
        <f>SUM($C$3:$C$10)</f>
        <v>50702.840000000004</v>
      </c>
      <c r="D11" s="97">
        <f>SUM(D3:D10)</f>
        <v>65038.490000000005</v>
      </c>
      <c r="E11" s="96">
        <f>SUM(E3:E10)</f>
        <v>106670.08</v>
      </c>
      <c r="F11" s="96">
        <f>SUM(F3:F10)</f>
        <v>157499.48000000001</v>
      </c>
      <c r="G11" s="96">
        <f>SUM(G3:G10)</f>
        <v>187333.44</v>
      </c>
      <c r="I11" s="100">
        <f>HLOOKUP(+Bin!$B$4,$B$2:$G$27,10,FALSE)</f>
        <v>187333.44</v>
      </c>
    </row>
    <row r="12" spans="2:9" x14ac:dyDescent="0.25">
      <c r="B12" s="94" t="s">
        <v>42</v>
      </c>
      <c r="C12" s="97">
        <f>16*142</f>
        <v>2272</v>
      </c>
      <c r="D12" s="97">
        <f>30*142</f>
        <v>4260</v>
      </c>
      <c r="E12" s="96">
        <v>6958</v>
      </c>
      <c r="F12" s="96">
        <v>8520</v>
      </c>
      <c r="G12" s="96">
        <f>77*142</f>
        <v>10934</v>
      </c>
      <c r="I12" s="101">
        <f>HLOOKUP(+Bin!$B$4,$B$2:$G$27,11,FALSE)</f>
        <v>10934</v>
      </c>
    </row>
    <row r="13" spans="2:9" x14ac:dyDescent="0.25">
      <c r="B13" s="94" t="s">
        <v>43</v>
      </c>
      <c r="C13" s="97">
        <v>246.53</v>
      </c>
      <c r="D13" s="97">
        <v>276.33</v>
      </c>
      <c r="E13" s="96">
        <v>410</v>
      </c>
      <c r="F13" s="96">
        <v>485.33</v>
      </c>
      <c r="G13" s="96">
        <v>566.33000000000004</v>
      </c>
      <c r="I13" s="101">
        <f>HLOOKUP(+Bin!$B$4,$B$2:$G$27,12,FALSE)</f>
        <v>566.33000000000004</v>
      </c>
    </row>
    <row r="14" spans="2:9" x14ac:dyDescent="0.25">
      <c r="B14" s="94" t="s">
        <v>44</v>
      </c>
      <c r="C14" s="97">
        <v>500</v>
      </c>
      <c r="D14" s="97">
        <v>500</v>
      </c>
      <c r="E14" s="96">
        <v>500</v>
      </c>
      <c r="F14" s="96">
        <v>500</v>
      </c>
      <c r="G14" s="96">
        <v>500</v>
      </c>
      <c r="I14" s="101">
        <f>HLOOKUP(+Bin!$B$4,$B$2:$G$27,13,FALSE)</f>
        <v>500</v>
      </c>
    </row>
    <row r="15" spans="2:9" x14ac:dyDescent="0.25">
      <c r="B15" s="94" t="s">
        <v>211</v>
      </c>
      <c r="C15" s="97">
        <v>1500</v>
      </c>
      <c r="D15" s="97">
        <v>1500</v>
      </c>
      <c r="E15" s="97">
        <v>1500</v>
      </c>
      <c r="F15" s="97">
        <v>1500</v>
      </c>
      <c r="G15" s="97">
        <v>1500</v>
      </c>
      <c r="I15" s="101">
        <f>HLOOKUP(+Bin!$B$4,$B$2:$G$27,14,FALSE)</f>
        <v>1500</v>
      </c>
    </row>
    <row r="16" spans="2:9" ht="15" customHeight="1" x14ac:dyDescent="0.25">
      <c r="B16" s="94" t="s">
        <v>20</v>
      </c>
      <c r="C16" s="97">
        <f>SUM($C$11:$C$15)</f>
        <v>55221.37</v>
      </c>
      <c r="D16" s="97">
        <f>SUM(D11:D15)</f>
        <v>71574.820000000007</v>
      </c>
      <c r="E16" s="96">
        <f>SUM(E11:E15)</f>
        <v>116038.08</v>
      </c>
      <c r="F16" s="96">
        <f>SUM(F11:F15)</f>
        <v>168504.81</v>
      </c>
      <c r="G16" s="96">
        <f>SUM(G11:G15)</f>
        <v>200833.77</v>
      </c>
      <c r="I16" s="100">
        <f>HLOOKUP(+Bin!$B$4,$B$2:$G$27,15,FALSE)</f>
        <v>200833.77</v>
      </c>
    </row>
    <row r="17" spans="1:9" x14ac:dyDescent="0.25">
      <c r="A17" t="s">
        <v>203</v>
      </c>
      <c r="B17" s="73" t="s">
        <v>191</v>
      </c>
      <c r="C17" s="97">
        <v>4650</v>
      </c>
      <c r="D17" s="97">
        <v>4650</v>
      </c>
      <c r="E17" s="97">
        <v>4650</v>
      </c>
      <c r="F17" s="97">
        <v>4650</v>
      </c>
      <c r="G17" s="97">
        <v>4650</v>
      </c>
      <c r="I17" s="101">
        <f>HLOOKUP(+Bin!$B$4,$B$2:$G$27,16,FALSE)</f>
        <v>4650</v>
      </c>
    </row>
    <row r="18" spans="1:9" x14ac:dyDescent="0.25">
      <c r="B18" s="73" t="s">
        <v>190</v>
      </c>
      <c r="C18" s="97">
        <v>14300</v>
      </c>
      <c r="D18" s="97">
        <v>14300</v>
      </c>
      <c r="E18" s="97">
        <v>15750</v>
      </c>
      <c r="F18" s="97">
        <v>17600</v>
      </c>
      <c r="G18" s="97">
        <v>19925</v>
      </c>
      <c r="I18" s="101">
        <f>HLOOKUP(+Bin!$B$4,$B$2:$G$27,17,FALSE)</f>
        <v>19925</v>
      </c>
    </row>
    <row r="19" spans="1:9" x14ac:dyDescent="0.25">
      <c r="B19" s="73" t="s">
        <v>24</v>
      </c>
      <c r="C19" s="97">
        <v>125000</v>
      </c>
      <c r="D19" s="97">
        <v>125000</v>
      </c>
      <c r="E19" s="97">
        <v>125000</v>
      </c>
      <c r="F19" s="97">
        <v>125000</v>
      </c>
      <c r="G19" s="97">
        <v>125000</v>
      </c>
      <c r="I19" s="101">
        <f>HLOOKUP(+Bin!$B$4,$B$2:$G$27,18,FALSE)</f>
        <v>125000</v>
      </c>
    </row>
    <row r="20" spans="1:9" x14ac:dyDescent="0.25">
      <c r="B20" s="73" t="s">
        <v>32</v>
      </c>
      <c r="C20" s="97">
        <v>55221</v>
      </c>
      <c r="D20" s="97">
        <f>D16</f>
        <v>71574.820000000007</v>
      </c>
      <c r="E20" s="97">
        <f>E16</f>
        <v>116038.08</v>
      </c>
      <c r="F20" s="97">
        <f>F16</f>
        <v>168504.81</v>
      </c>
      <c r="G20" s="97">
        <f>G16</f>
        <v>200833.77</v>
      </c>
      <c r="I20" s="103">
        <f>HLOOKUP(+Bin!$B$4,$B$2:$G$27,19,FALSE)</f>
        <v>200833.77</v>
      </c>
    </row>
    <row r="21" spans="1:9" x14ac:dyDescent="0.25">
      <c r="A21" t="s">
        <v>204</v>
      </c>
      <c r="B21" s="73" t="s">
        <v>172</v>
      </c>
      <c r="C21" s="97">
        <v>10</v>
      </c>
      <c r="D21" s="97">
        <v>20</v>
      </c>
      <c r="E21" s="97">
        <v>40</v>
      </c>
      <c r="F21" s="97">
        <v>60</v>
      </c>
      <c r="G21" s="97">
        <v>80</v>
      </c>
      <c r="I21" s="101">
        <f>HLOOKUP(+Bin!$B$4,$B$2:$G$27,20,FALSE)</f>
        <v>80</v>
      </c>
    </row>
    <row r="22" spans="1:9" x14ac:dyDescent="0.25">
      <c r="B22" s="77" t="s">
        <v>173</v>
      </c>
      <c r="C22" s="97">
        <v>10</v>
      </c>
      <c r="D22" s="97">
        <v>20</v>
      </c>
      <c r="E22" s="97">
        <v>40</v>
      </c>
      <c r="F22" s="97">
        <v>60</v>
      </c>
      <c r="G22" s="97">
        <v>80</v>
      </c>
      <c r="I22" s="101">
        <f>HLOOKUP(+Bin!$B$4,$B$2:$G$27,21,FALSE)</f>
        <v>80</v>
      </c>
    </row>
    <row r="23" spans="1:9" x14ac:dyDescent="0.25">
      <c r="B23" s="77" t="s">
        <v>201</v>
      </c>
      <c r="C23" s="97">
        <v>1</v>
      </c>
      <c r="D23" s="97">
        <v>1</v>
      </c>
      <c r="E23" s="97">
        <v>1</v>
      </c>
      <c r="F23" s="97">
        <v>1</v>
      </c>
      <c r="G23" s="97">
        <v>1</v>
      </c>
      <c r="I23" s="101">
        <f>HLOOKUP(+Bin!$B$4,$B$2:$G$27,22,FALSE)</f>
        <v>1</v>
      </c>
    </row>
    <row r="24" spans="1:9" x14ac:dyDescent="0.25">
      <c r="B24" s="85" t="s">
        <v>8</v>
      </c>
      <c r="C24" s="97">
        <f>10*(C2/1000)</f>
        <v>100</v>
      </c>
      <c r="D24" s="97">
        <f t="shared" ref="D24:G24" si="0">10*(D2/1000)</f>
        <v>200</v>
      </c>
      <c r="E24" s="97">
        <f t="shared" si="0"/>
        <v>400</v>
      </c>
      <c r="F24" s="97">
        <f t="shared" si="0"/>
        <v>600</v>
      </c>
      <c r="G24" s="97">
        <f t="shared" si="0"/>
        <v>800</v>
      </c>
      <c r="I24" s="101">
        <f>HLOOKUP(+Bin!$B$4,$B$2:$G$27,23,FALSE)</f>
        <v>800</v>
      </c>
    </row>
    <row r="25" spans="1:9" x14ac:dyDescent="0.25">
      <c r="B25" s="77" t="s">
        <v>155</v>
      </c>
      <c r="C25" s="97">
        <v>1</v>
      </c>
      <c r="D25" s="97">
        <v>2</v>
      </c>
      <c r="E25" s="97">
        <v>4</v>
      </c>
      <c r="F25" s="97">
        <v>6</v>
      </c>
      <c r="G25" s="97">
        <v>8</v>
      </c>
      <c r="I25" s="104">
        <f>HLOOKUP(+Bin!$B$4,$B$2:$G$27,24,FALSE)</f>
        <v>8</v>
      </c>
    </row>
    <row r="26" spans="1:9" x14ac:dyDescent="0.25">
      <c r="B26" s="94" t="s">
        <v>26</v>
      </c>
      <c r="C26" s="96">
        <v>10173</v>
      </c>
      <c r="D26" s="96">
        <v>21232</v>
      </c>
      <c r="E26" s="96">
        <v>43340</v>
      </c>
      <c r="F26" s="96">
        <v>54853</v>
      </c>
      <c r="G26" s="96">
        <v>67719</v>
      </c>
      <c r="I26" s="105">
        <f>HLOOKUP(+Bin!$B$4,$B$2:$G$27,25,FALSE)</f>
        <v>67719</v>
      </c>
    </row>
    <row r="27" spans="1:9" x14ac:dyDescent="0.25">
      <c r="B27" s="94" t="s">
        <v>29</v>
      </c>
      <c r="C27" s="96">
        <v>11322</v>
      </c>
      <c r="D27" s="96">
        <v>23956</v>
      </c>
      <c r="E27" s="96">
        <v>49796</v>
      </c>
      <c r="F27" s="96">
        <v>64044</v>
      </c>
      <c r="G27" s="96">
        <v>80327</v>
      </c>
      <c r="I27" s="105">
        <f>HLOOKUP(+Bin!$B$4,$B$2:$G$27,26,FALSE)</f>
        <v>80327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6E62E-85C6-42D2-9012-FE363E4F5A65}">
  <sheetPr codeName="Sheet4"/>
  <dimension ref="A1:N30"/>
  <sheetViews>
    <sheetView workbookViewId="0">
      <selection activeCell="C30" sqref="C30"/>
    </sheetView>
  </sheetViews>
  <sheetFormatPr defaultRowHeight="15" x14ac:dyDescent="0.25"/>
  <cols>
    <col min="3" max="3" width="14" customWidth="1"/>
    <col min="4" max="4" width="13.5703125" bestFit="1" customWidth="1"/>
    <col min="5" max="5" width="10.28515625" customWidth="1"/>
    <col min="6" max="6" width="17.5703125" bestFit="1" customWidth="1"/>
    <col min="7" max="8" width="10.7109375" bestFit="1" customWidth="1"/>
    <col min="10" max="11" width="10.7109375" bestFit="1" customWidth="1"/>
  </cols>
  <sheetData>
    <row r="1" spans="1:12" ht="31.5" customHeight="1" x14ac:dyDescent="0.35">
      <c r="A1" s="129" t="s">
        <v>21</v>
      </c>
      <c r="B1" s="129"/>
      <c r="C1" s="9" t="s">
        <v>22</v>
      </c>
      <c r="D1" s="9" t="s">
        <v>23</v>
      </c>
      <c r="E1" s="11" t="s">
        <v>3</v>
      </c>
    </row>
    <row r="2" spans="1:12" x14ac:dyDescent="0.25">
      <c r="A2" s="132" t="s">
        <v>24</v>
      </c>
      <c r="B2" s="132"/>
      <c r="C2" s="7">
        <v>10</v>
      </c>
      <c r="D2" s="4">
        <v>28.5</v>
      </c>
      <c r="E2" s="4">
        <f>C2*D2</f>
        <v>285</v>
      </c>
      <c r="J2" t="s">
        <v>25</v>
      </c>
    </row>
    <row r="3" spans="1:12" ht="15" customHeight="1" x14ac:dyDescent="0.25">
      <c r="A3" s="132" t="s">
        <v>13</v>
      </c>
      <c r="B3" s="132"/>
      <c r="C3" s="4"/>
      <c r="E3" s="4"/>
      <c r="J3" s="13" t="s">
        <v>26</v>
      </c>
      <c r="K3" s="13">
        <v>10173</v>
      </c>
      <c r="L3" s="13" t="s">
        <v>27</v>
      </c>
    </row>
    <row r="4" spans="1:12" ht="15" customHeight="1" x14ac:dyDescent="0.25">
      <c r="A4" s="132" t="s">
        <v>28</v>
      </c>
      <c r="B4" s="132"/>
      <c r="C4" s="7"/>
      <c r="D4" s="4"/>
      <c r="E4" s="4"/>
      <c r="J4" s="13" t="s">
        <v>29</v>
      </c>
      <c r="K4" s="13">
        <v>11322</v>
      </c>
      <c r="L4" s="13" t="s">
        <v>27</v>
      </c>
    </row>
    <row r="5" spans="1:12" ht="15" customHeight="1" x14ac:dyDescent="0.25">
      <c r="A5" s="132" t="s">
        <v>30</v>
      </c>
      <c r="B5" s="132"/>
      <c r="J5" s="13"/>
      <c r="K5" s="13"/>
      <c r="L5" s="13"/>
    </row>
    <row r="6" spans="1:12" x14ac:dyDescent="0.25">
      <c r="J6" s="13"/>
      <c r="K6" s="13"/>
      <c r="L6" s="13"/>
    </row>
    <row r="7" spans="1:12" ht="21" x14ac:dyDescent="0.35">
      <c r="A7" s="126" t="s">
        <v>31</v>
      </c>
      <c r="B7" s="126"/>
      <c r="C7">
        <v>10000</v>
      </c>
      <c r="D7">
        <v>20000</v>
      </c>
      <c r="J7" s="13"/>
      <c r="K7" s="13"/>
      <c r="L7" s="13"/>
    </row>
    <row r="8" spans="1:12" x14ac:dyDescent="0.25">
      <c r="A8" s="130" t="s">
        <v>32</v>
      </c>
      <c r="B8" s="130"/>
      <c r="C8" s="5">
        <v>18246.830000000002</v>
      </c>
      <c r="D8" s="4"/>
      <c r="G8" s="2"/>
    </row>
    <row r="9" spans="1:12" x14ac:dyDescent="0.25">
      <c r="A9" s="130" t="s">
        <v>33</v>
      </c>
      <c r="B9" s="130"/>
      <c r="C9" s="5">
        <v>6153.84</v>
      </c>
      <c r="G9" s="2"/>
    </row>
    <row r="10" spans="1:12" x14ac:dyDescent="0.25">
      <c r="A10" s="130" t="s">
        <v>34</v>
      </c>
      <c r="B10" s="130"/>
      <c r="C10" s="5">
        <v>4053.91</v>
      </c>
    </row>
    <row r="11" spans="1:12" x14ac:dyDescent="0.25">
      <c r="A11" s="130" t="s">
        <v>35</v>
      </c>
      <c r="B11" s="130"/>
      <c r="C11" s="5">
        <v>5410.93</v>
      </c>
      <c r="H11" s="2"/>
    </row>
    <row r="12" spans="1:12" x14ac:dyDescent="0.25">
      <c r="A12" s="131" t="s">
        <v>36</v>
      </c>
      <c r="B12" s="131"/>
      <c r="C12" s="5">
        <v>7166.22</v>
      </c>
    </row>
    <row r="13" spans="1:12" x14ac:dyDescent="0.25">
      <c r="A13" s="130" t="s">
        <v>37</v>
      </c>
      <c r="B13" s="130"/>
      <c r="C13" s="5">
        <v>12900</v>
      </c>
      <c r="K13" s="2"/>
    </row>
    <row r="14" spans="1:12" x14ac:dyDescent="0.25">
      <c r="A14" s="130" t="s">
        <v>38</v>
      </c>
      <c r="B14" s="130"/>
      <c r="C14" s="5">
        <v>1900</v>
      </c>
    </row>
    <row r="15" spans="1:12" x14ac:dyDescent="0.25">
      <c r="A15" s="131" t="s">
        <v>39</v>
      </c>
      <c r="B15" s="131"/>
      <c r="C15" s="5">
        <v>-5128.8900000000003</v>
      </c>
      <c r="J15" s="2"/>
      <c r="K15" t="s">
        <v>40</v>
      </c>
    </row>
    <row r="16" spans="1:12" x14ac:dyDescent="0.25">
      <c r="A16" s="13"/>
      <c r="B16" s="130" t="s">
        <v>41</v>
      </c>
      <c r="C16" s="130"/>
      <c r="D16" s="4">
        <f>SUM($C$8:$C$15)</f>
        <v>50702.840000000004</v>
      </c>
      <c r="J16" s="2"/>
    </row>
    <row r="17" spans="1:14" x14ac:dyDescent="0.25">
      <c r="A17" s="13"/>
      <c r="B17" s="130" t="s">
        <v>42</v>
      </c>
      <c r="C17" s="130"/>
      <c r="D17" s="4">
        <f>16*142</f>
        <v>2272</v>
      </c>
    </row>
    <row r="18" spans="1:14" x14ac:dyDescent="0.25">
      <c r="A18" s="13"/>
      <c r="B18" s="130" t="s">
        <v>43</v>
      </c>
      <c r="C18" s="130"/>
      <c r="D18" s="4">
        <v>246.53</v>
      </c>
      <c r="H18" s="4"/>
    </row>
    <row r="19" spans="1:14" x14ac:dyDescent="0.25">
      <c r="A19" s="13"/>
      <c r="B19" s="130" t="s">
        <v>44</v>
      </c>
      <c r="C19" s="130"/>
      <c r="D19" s="4">
        <v>500</v>
      </c>
    </row>
    <row r="20" spans="1:14" x14ac:dyDescent="0.25">
      <c r="A20" s="13"/>
      <c r="B20" s="130" t="s">
        <v>45</v>
      </c>
      <c r="C20" s="130"/>
      <c r="D20" s="4"/>
    </row>
    <row r="21" spans="1:14" x14ac:dyDescent="0.25">
      <c r="A21" s="13"/>
      <c r="B21" s="130" t="s">
        <v>46</v>
      </c>
      <c r="C21" s="130"/>
      <c r="D21" s="4">
        <v>1388.114</v>
      </c>
    </row>
    <row r="22" spans="1:14" x14ac:dyDescent="0.25">
      <c r="A22" s="13"/>
      <c r="B22" s="131" t="s">
        <v>47</v>
      </c>
      <c r="C22" s="131"/>
      <c r="D22" s="6">
        <f>0.0488*$D$21</f>
        <v>67.739963200000005</v>
      </c>
    </row>
    <row r="23" spans="1:14" x14ac:dyDescent="0.25">
      <c r="A23" s="13"/>
      <c r="B23" s="130" t="s">
        <v>48</v>
      </c>
      <c r="C23" s="130"/>
    </row>
    <row r="24" spans="1:14" x14ac:dyDescent="0.25">
      <c r="A24" s="13"/>
      <c r="B24" s="130" t="s">
        <v>49</v>
      </c>
      <c r="C24" s="130"/>
      <c r="D24" s="4"/>
    </row>
    <row r="25" spans="1:14" x14ac:dyDescent="0.25">
      <c r="A25" s="13"/>
      <c r="B25" s="133" t="s">
        <v>20</v>
      </c>
      <c r="C25" s="133"/>
      <c r="D25" s="4">
        <f>SUM($D$16:$D$24)</f>
        <v>55177.223963200006</v>
      </c>
      <c r="F25" s="4"/>
    </row>
    <row r="26" spans="1:14" x14ac:dyDescent="0.25">
      <c r="A26" s="13"/>
      <c r="B26" s="13"/>
      <c r="C26" s="13"/>
    </row>
    <row r="27" spans="1:14" ht="21" x14ac:dyDescent="0.35">
      <c r="A27" s="126" t="s">
        <v>50</v>
      </c>
      <c r="B27" s="126"/>
      <c r="C27" s="12" t="s">
        <v>16</v>
      </c>
      <c r="D27" s="12" t="s">
        <v>17</v>
      </c>
      <c r="E27" s="12" t="s">
        <v>18</v>
      </c>
      <c r="F27" s="12" t="s">
        <v>19</v>
      </c>
    </row>
    <row r="28" spans="1:14" x14ac:dyDescent="0.25">
      <c r="B28" t="s">
        <v>32</v>
      </c>
      <c r="C28" s="4">
        <f>$D$16-SUM($C$13:$C$14)</f>
        <v>35902.840000000004</v>
      </c>
      <c r="D28" s="4">
        <v>0</v>
      </c>
      <c r="E28">
        <v>25</v>
      </c>
      <c r="F28" s="4">
        <f>(C28-D28)/E28</f>
        <v>1436.1136000000001</v>
      </c>
    </row>
    <row r="29" spans="1:14" x14ac:dyDescent="0.25">
      <c r="B29" t="s">
        <v>191</v>
      </c>
      <c r="C29" s="4">
        <v>4650</v>
      </c>
      <c r="D29">
        <v>0</v>
      </c>
      <c r="E29">
        <v>10</v>
      </c>
      <c r="F29" s="4">
        <f t="shared" ref="F29:F30" si="0">(C29-D29)/E29</f>
        <v>465</v>
      </c>
    </row>
    <row r="30" spans="1:14" x14ac:dyDescent="0.25">
      <c r="B30" t="s">
        <v>190</v>
      </c>
      <c r="C30" s="4">
        <v>14300</v>
      </c>
      <c r="D30">
        <v>0</v>
      </c>
      <c r="E30">
        <v>10</v>
      </c>
      <c r="F30" s="4">
        <f t="shared" si="0"/>
        <v>1430</v>
      </c>
      <c r="N30" t="s">
        <v>169</v>
      </c>
    </row>
  </sheetData>
  <mergeCells count="25">
    <mergeCell ref="A7:B7"/>
    <mergeCell ref="A27:B27"/>
    <mergeCell ref="A2:B2"/>
    <mergeCell ref="A3:B3"/>
    <mergeCell ref="A4:B4"/>
    <mergeCell ref="A5:B5"/>
    <mergeCell ref="B22:C22"/>
    <mergeCell ref="B24:C24"/>
    <mergeCell ref="B25:C25"/>
    <mergeCell ref="A1:B1"/>
    <mergeCell ref="B21:C21"/>
    <mergeCell ref="B23:C23"/>
    <mergeCell ref="B20:C20"/>
    <mergeCell ref="A8:B8"/>
    <mergeCell ref="A9:B9"/>
    <mergeCell ref="A10:B10"/>
    <mergeCell ref="A11:B11"/>
    <mergeCell ref="A13:B13"/>
    <mergeCell ref="A14:B14"/>
    <mergeCell ref="B16:C16"/>
    <mergeCell ref="B17:C17"/>
    <mergeCell ref="B18:C18"/>
    <mergeCell ref="B19:C19"/>
    <mergeCell ref="A12:B12"/>
    <mergeCell ref="A15:B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8A4B5-4E79-4772-B491-CF324C1C4FE5}">
  <sheetPr codeName="Sheet5"/>
  <dimension ref="A1:L30"/>
  <sheetViews>
    <sheetView workbookViewId="0">
      <selection activeCell="D25" sqref="D25"/>
    </sheetView>
  </sheetViews>
  <sheetFormatPr defaultRowHeight="15" x14ac:dyDescent="0.25"/>
  <cols>
    <col min="3" max="3" width="11" customWidth="1"/>
    <col min="4" max="4" width="10.28515625" bestFit="1" customWidth="1"/>
    <col min="5" max="6" width="10.85546875" customWidth="1"/>
    <col min="10" max="10" width="10.7109375" bestFit="1" customWidth="1"/>
    <col min="12" max="12" width="9.7109375" bestFit="1" customWidth="1"/>
  </cols>
  <sheetData>
    <row r="1" spans="1:12" ht="33" x14ac:dyDescent="0.35">
      <c r="A1" s="129" t="s">
        <v>21</v>
      </c>
      <c r="B1" s="129"/>
      <c r="C1" s="9" t="s">
        <v>22</v>
      </c>
      <c r="D1" s="9" t="s">
        <v>23</v>
      </c>
      <c r="E1" s="11" t="s">
        <v>3</v>
      </c>
    </row>
    <row r="2" spans="1:12" x14ac:dyDescent="0.25">
      <c r="A2" s="130" t="s">
        <v>24</v>
      </c>
      <c r="B2" s="130"/>
      <c r="C2" s="7">
        <v>20</v>
      </c>
      <c r="D2" s="4">
        <v>28.5</v>
      </c>
      <c r="E2" s="4">
        <f>C2*D2</f>
        <v>570</v>
      </c>
      <c r="J2" s="13" t="s">
        <v>25</v>
      </c>
      <c r="K2" s="13"/>
      <c r="L2" s="13"/>
    </row>
    <row r="3" spans="1:12" ht="15" customHeight="1" x14ac:dyDescent="0.25">
      <c r="A3" s="130" t="s">
        <v>13</v>
      </c>
      <c r="B3" s="130"/>
      <c r="C3" s="4"/>
      <c r="E3" s="4">
        <f t="shared" ref="E3:E4" si="0">C3*D3</f>
        <v>0</v>
      </c>
      <c r="J3" s="13" t="s">
        <v>26</v>
      </c>
      <c r="K3" s="13">
        <v>21232</v>
      </c>
      <c r="L3" s="13" t="s">
        <v>27</v>
      </c>
    </row>
    <row r="4" spans="1:12" ht="15" customHeight="1" x14ac:dyDescent="0.25">
      <c r="A4" s="130" t="s">
        <v>28</v>
      </c>
      <c r="B4" s="130"/>
      <c r="C4" s="7">
        <v>20</v>
      </c>
      <c r="D4" s="4">
        <v>16.38</v>
      </c>
      <c r="E4" s="4">
        <f t="shared" si="0"/>
        <v>327.59999999999997</v>
      </c>
      <c r="J4" s="13" t="s">
        <v>29</v>
      </c>
      <c r="K4" s="13">
        <v>23956</v>
      </c>
      <c r="L4" s="13" t="s">
        <v>27</v>
      </c>
    </row>
    <row r="5" spans="1:12" ht="15" customHeight="1" x14ac:dyDescent="0.25">
      <c r="A5" s="130" t="s">
        <v>30</v>
      </c>
      <c r="B5" s="130"/>
    </row>
    <row r="6" spans="1:12" x14ac:dyDescent="0.25">
      <c r="A6" s="13"/>
      <c r="B6" s="13"/>
    </row>
    <row r="7" spans="1:12" ht="21" x14ac:dyDescent="0.35">
      <c r="A7" s="129" t="s">
        <v>31</v>
      </c>
      <c r="B7" s="129"/>
    </row>
    <row r="8" spans="1:12" x14ac:dyDescent="0.25">
      <c r="A8" s="130" t="s">
        <v>32</v>
      </c>
      <c r="B8" s="130"/>
      <c r="C8" s="5">
        <v>32993.769999999997</v>
      </c>
      <c r="D8" s="4"/>
    </row>
    <row r="9" spans="1:12" x14ac:dyDescent="0.25">
      <c r="A9" s="130" t="s">
        <v>33</v>
      </c>
      <c r="B9" s="130"/>
      <c r="C9" s="5">
        <v>10617.22</v>
      </c>
    </row>
    <row r="10" spans="1:12" x14ac:dyDescent="0.25">
      <c r="A10" s="130" t="s">
        <v>34</v>
      </c>
      <c r="B10" s="130"/>
      <c r="C10" s="5">
        <v>4629.97</v>
      </c>
    </row>
    <row r="11" spans="1:12" x14ac:dyDescent="0.25">
      <c r="A11" s="130" t="s">
        <v>35</v>
      </c>
      <c r="B11" s="130"/>
      <c r="C11" s="5">
        <v>6069.28</v>
      </c>
      <c r="J11" s="13"/>
      <c r="K11" s="13"/>
      <c r="L11" s="13"/>
    </row>
    <row r="12" spans="1:12" x14ac:dyDescent="0.25">
      <c r="A12" s="131" t="s">
        <v>36</v>
      </c>
      <c r="B12" s="131"/>
      <c r="C12" s="5">
        <v>5390.89</v>
      </c>
      <c r="J12" s="13"/>
      <c r="K12" s="13"/>
      <c r="L12" s="13"/>
    </row>
    <row r="13" spans="1:12" x14ac:dyDescent="0.25">
      <c r="A13" s="130" t="s">
        <v>37</v>
      </c>
      <c r="B13" s="130"/>
      <c r="C13" s="5">
        <v>11000</v>
      </c>
    </row>
    <row r="14" spans="1:12" x14ac:dyDescent="0.25">
      <c r="A14" s="130" t="s">
        <v>38</v>
      </c>
      <c r="B14" s="130"/>
      <c r="C14" s="5">
        <v>1800</v>
      </c>
    </row>
    <row r="15" spans="1:12" x14ac:dyDescent="0.25">
      <c r="A15" s="131" t="s">
        <v>39</v>
      </c>
      <c r="B15" s="131"/>
      <c r="C15" s="5">
        <v>-7462.64</v>
      </c>
    </row>
    <row r="16" spans="1:12" ht="14.45" customHeight="1" x14ac:dyDescent="0.25">
      <c r="A16" s="13"/>
      <c r="B16" s="130" t="s">
        <v>41</v>
      </c>
      <c r="C16" s="130"/>
      <c r="D16" s="4">
        <f>SUM(C8:C15)</f>
        <v>65038.490000000005</v>
      </c>
    </row>
    <row r="17" spans="1:12" x14ac:dyDescent="0.25">
      <c r="A17" s="13"/>
      <c r="B17" s="130" t="s">
        <v>42</v>
      </c>
      <c r="C17" s="130"/>
      <c r="D17" s="4">
        <f>30*142</f>
        <v>4260</v>
      </c>
    </row>
    <row r="18" spans="1:12" x14ac:dyDescent="0.25">
      <c r="A18" s="13"/>
      <c r="B18" s="130" t="s">
        <v>43</v>
      </c>
      <c r="C18" s="130"/>
      <c r="D18" s="4">
        <v>276.33</v>
      </c>
    </row>
    <row r="19" spans="1:12" x14ac:dyDescent="0.25">
      <c r="A19" s="13"/>
      <c r="B19" s="130" t="s">
        <v>44</v>
      </c>
      <c r="C19" s="130"/>
      <c r="D19" s="4">
        <v>500</v>
      </c>
    </row>
    <row r="20" spans="1:12" x14ac:dyDescent="0.25">
      <c r="A20" s="13"/>
      <c r="B20" s="130" t="s">
        <v>45</v>
      </c>
      <c r="C20" s="130"/>
      <c r="D20" s="4"/>
    </row>
    <row r="21" spans="1:12" x14ac:dyDescent="0.25">
      <c r="A21" s="13"/>
      <c r="B21" s="130" t="s">
        <v>46</v>
      </c>
      <c r="C21" s="130"/>
      <c r="D21" s="4">
        <v>2005.54</v>
      </c>
      <c r="J21" s="2"/>
    </row>
    <row r="22" spans="1:12" x14ac:dyDescent="0.25">
      <c r="A22" s="13"/>
      <c r="B22" s="131" t="s">
        <v>47</v>
      </c>
      <c r="C22" s="131"/>
      <c r="D22" s="6">
        <f>0.0488*D21</f>
        <v>97.870352000000011</v>
      </c>
      <c r="J22" s="2"/>
    </row>
    <row r="23" spans="1:12" x14ac:dyDescent="0.25">
      <c r="A23" s="13"/>
      <c r="B23" s="130" t="s">
        <v>52</v>
      </c>
      <c r="C23" s="130"/>
    </row>
    <row r="24" spans="1:12" x14ac:dyDescent="0.25">
      <c r="A24" s="13"/>
      <c r="B24" s="130" t="s">
        <v>53</v>
      </c>
      <c r="C24" s="130"/>
      <c r="D24" s="4"/>
    </row>
    <row r="25" spans="1:12" x14ac:dyDescent="0.25">
      <c r="A25" s="13"/>
      <c r="B25" s="133" t="s">
        <v>20</v>
      </c>
      <c r="C25" s="133"/>
      <c r="D25" s="4">
        <f>SUM(D16:D24)</f>
        <v>72178.230351999999</v>
      </c>
      <c r="F25" s="4"/>
    </row>
    <row r="26" spans="1:12" x14ac:dyDescent="0.25">
      <c r="A26" s="13"/>
      <c r="B26" s="13"/>
      <c r="C26" s="13"/>
    </row>
    <row r="27" spans="1:12" ht="21" x14ac:dyDescent="0.35">
      <c r="A27" s="126" t="s">
        <v>50</v>
      </c>
      <c r="B27" s="126"/>
      <c r="C27" s="12" t="s">
        <v>16</v>
      </c>
      <c r="D27" s="12" t="s">
        <v>17</v>
      </c>
      <c r="E27" s="12" t="s">
        <v>18</v>
      </c>
      <c r="F27" s="12" t="s">
        <v>19</v>
      </c>
      <c r="L27" s="2"/>
    </row>
    <row r="28" spans="1:12" x14ac:dyDescent="0.25">
      <c r="B28" t="s">
        <v>32</v>
      </c>
      <c r="C28" s="4">
        <f>D16-SUM(C13:C14)</f>
        <v>52238.490000000005</v>
      </c>
      <c r="D28" s="4">
        <v>0</v>
      </c>
      <c r="E28">
        <v>25</v>
      </c>
      <c r="F28" s="4">
        <f>(C28-D28)/E28</f>
        <v>2089.5396000000001</v>
      </c>
    </row>
    <row r="29" spans="1:12" x14ac:dyDescent="0.25">
      <c r="B29" t="s">
        <v>191</v>
      </c>
      <c r="C29" s="4">
        <v>4650</v>
      </c>
      <c r="D29">
        <v>0</v>
      </c>
      <c r="E29">
        <v>10</v>
      </c>
      <c r="F29" s="4">
        <f t="shared" ref="F29:F30" si="1">(C29-D29)/E29</f>
        <v>465</v>
      </c>
    </row>
    <row r="30" spans="1:12" x14ac:dyDescent="0.25">
      <c r="B30" t="s">
        <v>190</v>
      </c>
      <c r="C30" s="4">
        <v>14300</v>
      </c>
      <c r="D30">
        <v>0</v>
      </c>
      <c r="E30">
        <v>10</v>
      </c>
      <c r="F30" s="4">
        <f t="shared" si="1"/>
        <v>1430</v>
      </c>
    </row>
  </sheetData>
  <mergeCells count="25">
    <mergeCell ref="A1:B1"/>
    <mergeCell ref="A27:B27"/>
    <mergeCell ref="A12:B12"/>
    <mergeCell ref="A15:B15"/>
    <mergeCell ref="A2:B2"/>
    <mergeCell ref="A3:B3"/>
    <mergeCell ref="A4:B4"/>
    <mergeCell ref="A5:B5"/>
    <mergeCell ref="A7:B7"/>
    <mergeCell ref="A8:B8"/>
    <mergeCell ref="B22:C22"/>
    <mergeCell ref="B20:C20"/>
    <mergeCell ref="B21:C21"/>
    <mergeCell ref="B24:C24"/>
    <mergeCell ref="B23:C23"/>
    <mergeCell ref="A9:B9"/>
    <mergeCell ref="A10:B10"/>
    <mergeCell ref="A11:B11"/>
    <mergeCell ref="A13:B13"/>
    <mergeCell ref="A14:B14"/>
    <mergeCell ref="B25:C25"/>
    <mergeCell ref="B16:C16"/>
    <mergeCell ref="B17:C17"/>
    <mergeCell ref="B18:C18"/>
    <mergeCell ref="B19:C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EC109-ED82-4164-978C-2874A69F1132}">
  <sheetPr codeName="Sheet6"/>
  <dimension ref="A1:Q34"/>
  <sheetViews>
    <sheetView workbookViewId="0">
      <selection activeCell="B29" sqref="B29:F30"/>
    </sheetView>
  </sheetViews>
  <sheetFormatPr defaultRowHeight="15" x14ac:dyDescent="0.25"/>
  <cols>
    <col min="3" max="3" width="12" customWidth="1"/>
    <col min="4" max="4" width="12.5703125" customWidth="1"/>
    <col min="5" max="5" width="11.7109375" customWidth="1"/>
    <col min="6" max="6" width="11" customWidth="1"/>
    <col min="12" max="12" width="11" customWidth="1"/>
  </cols>
  <sheetData>
    <row r="1" spans="1:17" ht="21" x14ac:dyDescent="0.35">
      <c r="A1" s="134" t="s">
        <v>0</v>
      </c>
      <c r="B1" s="134"/>
      <c r="C1" s="134"/>
      <c r="D1" s="9" t="s">
        <v>22</v>
      </c>
      <c r="E1" s="9" t="s">
        <v>23</v>
      </c>
      <c r="F1" s="11" t="s">
        <v>3</v>
      </c>
    </row>
    <row r="2" spans="1:17" x14ac:dyDescent="0.25">
      <c r="A2" s="130" t="s">
        <v>24</v>
      </c>
      <c r="B2" s="130"/>
      <c r="C2" s="8">
        <v>40</v>
      </c>
      <c r="D2" s="10">
        <v>28.5</v>
      </c>
      <c r="E2" s="10">
        <f>C2*D2</f>
        <v>1140</v>
      </c>
      <c r="J2" s="13" t="s">
        <v>25</v>
      </c>
      <c r="K2" s="13"/>
    </row>
    <row r="3" spans="1:17" x14ac:dyDescent="0.25">
      <c r="A3" s="130" t="s">
        <v>13</v>
      </c>
      <c r="B3" s="130"/>
      <c r="C3" s="13"/>
      <c r="D3" s="10"/>
      <c r="E3" s="10">
        <f t="shared" ref="E3:E4" si="0">C3*D3</f>
        <v>0</v>
      </c>
      <c r="J3" s="13" t="s">
        <v>26</v>
      </c>
      <c r="K3" s="13">
        <v>43340</v>
      </c>
      <c r="L3" t="s">
        <v>27</v>
      </c>
    </row>
    <row r="4" spans="1:17" x14ac:dyDescent="0.25">
      <c r="A4" s="130" t="s">
        <v>28</v>
      </c>
      <c r="B4" s="130"/>
      <c r="C4" s="8">
        <v>40</v>
      </c>
      <c r="D4" s="10">
        <v>16.38</v>
      </c>
      <c r="E4" s="10">
        <f t="shared" si="0"/>
        <v>655.19999999999993</v>
      </c>
      <c r="J4" s="13" t="s">
        <v>29</v>
      </c>
      <c r="K4" s="13">
        <v>49796</v>
      </c>
      <c r="L4" t="s">
        <v>27</v>
      </c>
    </row>
    <row r="5" spans="1:17" x14ac:dyDescent="0.25">
      <c r="A5" s="130" t="s">
        <v>30</v>
      </c>
      <c r="B5" s="130"/>
      <c r="C5" s="13"/>
      <c r="D5" s="10"/>
      <c r="E5" s="13"/>
    </row>
    <row r="6" spans="1:17" x14ac:dyDescent="0.25">
      <c r="A6" s="13"/>
      <c r="B6" s="13"/>
      <c r="C6" s="13"/>
      <c r="D6" s="10"/>
      <c r="E6" s="13"/>
    </row>
    <row r="7" spans="1:17" ht="21" x14ac:dyDescent="0.35">
      <c r="A7" s="129" t="s">
        <v>54</v>
      </c>
      <c r="B7" s="129"/>
      <c r="C7" s="14"/>
      <c r="D7" s="13"/>
      <c r="E7" s="13"/>
      <c r="F7" s="13"/>
      <c r="G7" s="13"/>
      <c r="H7" s="13"/>
      <c r="I7" s="13"/>
      <c r="J7" s="13"/>
      <c r="K7" s="13"/>
      <c r="L7" s="13"/>
      <c r="M7" s="13"/>
      <c r="N7" s="13"/>
      <c r="O7" s="13"/>
      <c r="P7" s="13"/>
      <c r="Q7" s="13"/>
    </row>
    <row r="8" spans="1:17" x14ac:dyDescent="0.25">
      <c r="A8" s="130" t="s">
        <v>32</v>
      </c>
      <c r="B8" s="130"/>
      <c r="C8" s="5">
        <v>56218.81</v>
      </c>
      <c r="D8" s="13"/>
      <c r="E8" s="13"/>
      <c r="F8" s="13"/>
      <c r="G8" s="13"/>
      <c r="H8" s="13"/>
      <c r="I8" s="13"/>
      <c r="L8" s="13"/>
      <c r="M8" s="13"/>
      <c r="N8" s="13"/>
      <c r="O8" s="13"/>
      <c r="P8" s="13"/>
      <c r="Q8" s="13"/>
    </row>
    <row r="9" spans="1:17" x14ac:dyDescent="0.25">
      <c r="A9" s="130" t="s">
        <v>33</v>
      </c>
      <c r="B9" s="130"/>
      <c r="C9" s="5">
        <v>19681.72</v>
      </c>
      <c r="D9" s="13"/>
      <c r="E9" s="13"/>
      <c r="F9" s="13"/>
      <c r="G9" s="13"/>
      <c r="H9" s="13"/>
      <c r="I9" s="13"/>
      <c r="L9" s="13"/>
      <c r="M9" s="13"/>
      <c r="N9" s="13"/>
      <c r="O9" s="13"/>
      <c r="P9" s="13"/>
      <c r="Q9" s="13"/>
    </row>
    <row r="10" spans="1:17" x14ac:dyDescent="0.25">
      <c r="A10" s="130" t="s">
        <v>34</v>
      </c>
      <c r="B10" s="130"/>
      <c r="C10" s="5">
        <v>9729.16</v>
      </c>
      <c r="D10" s="13"/>
      <c r="E10" s="13"/>
      <c r="F10" s="13"/>
      <c r="G10" s="13"/>
      <c r="H10" s="13"/>
      <c r="I10" s="13"/>
      <c r="L10" s="13"/>
      <c r="M10" s="13"/>
      <c r="N10" s="13"/>
      <c r="O10" s="13"/>
      <c r="P10" s="13"/>
      <c r="Q10" s="13"/>
    </row>
    <row r="11" spans="1:17" x14ac:dyDescent="0.25">
      <c r="A11" s="130" t="s">
        <v>35</v>
      </c>
      <c r="B11" s="130"/>
      <c r="C11" s="5">
        <v>7087.41</v>
      </c>
      <c r="D11" s="13"/>
      <c r="E11" s="13"/>
      <c r="F11" s="13"/>
      <c r="G11" s="13"/>
      <c r="H11" s="13"/>
      <c r="I11" s="13"/>
      <c r="J11" s="13"/>
      <c r="K11" s="13"/>
      <c r="L11" s="13"/>
      <c r="M11" s="13"/>
      <c r="N11" s="13"/>
      <c r="O11" s="13"/>
      <c r="P11" s="13"/>
      <c r="Q11" s="13"/>
    </row>
    <row r="12" spans="1:17" x14ac:dyDescent="0.25">
      <c r="A12" s="131" t="s">
        <v>36</v>
      </c>
      <c r="B12" s="131"/>
      <c r="C12" s="5">
        <v>6334.42</v>
      </c>
      <c r="D12" s="13"/>
      <c r="E12" s="13"/>
      <c r="F12" s="13"/>
      <c r="G12" s="13"/>
      <c r="H12" s="13"/>
      <c r="I12" s="13"/>
      <c r="J12" s="13"/>
      <c r="K12" s="13"/>
      <c r="L12" s="13"/>
      <c r="M12" s="13"/>
      <c r="N12" s="13"/>
      <c r="O12" s="13"/>
      <c r="P12" s="13"/>
      <c r="Q12" s="13"/>
    </row>
    <row r="13" spans="1:17" x14ac:dyDescent="0.25">
      <c r="A13" s="130" t="s">
        <v>37</v>
      </c>
      <c r="B13" s="130"/>
      <c r="C13" s="5">
        <v>18200</v>
      </c>
      <c r="D13" s="13"/>
      <c r="E13" s="13"/>
      <c r="F13" s="13"/>
      <c r="G13" s="13"/>
      <c r="H13" s="13"/>
      <c r="I13" s="13"/>
      <c r="J13" s="13"/>
      <c r="K13" s="13"/>
      <c r="L13" s="13"/>
      <c r="M13" s="13"/>
      <c r="N13" s="13"/>
      <c r="O13" s="13"/>
      <c r="P13" s="13"/>
      <c r="Q13" s="13"/>
    </row>
    <row r="14" spans="1:17" x14ac:dyDescent="0.25">
      <c r="A14" s="130" t="s">
        <v>38</v>
      </c>
      <c r="B14" s="130"/>
      <c r="C14" s="5">
        <v>1800</v>
      </c>
      <c r="D14" s="13"/>
      <c r="E14" s="13"/>
      <c r="F14" s="13"/>
      <c r="G14" s="13"/>
      <c r="H14" s="13"/>
      <c r="I14" s="13"/>
      <c r="J14" s="13"/>
      <c r="K14" s="13"/>
      <c r="L14" s="13"/>
      <c r="M14" s="13"/>
      <c r="N14" s="13"/>
      <c r="O14" s="13"/>
      <c r="P14" s="13"/>
      <c r="Q14" s="13"/>
    </row>
    <row r="15" spans="1:17" x14ac:dyDescent="0.25">
      <c r="A15" s="131" t="s">
        <v>39</v>
      </c>
      <c r="B15" s="131"/>
      <c r="C15" s="5">
        <v>-12381.44</v>
      </c>
      <c r="D15" s="13"/>
      <c r="E15" s="13"/>
      <c r="F15" s="13"/>
      <c r="G15" s="13"/>
      <c r="H15" s="13"/>
      <c r="I15" s="13"/>
      <c r="J15" s="13"/>
      <c r="K15" s="13"/>
      <c r="L15" s="13"/>
      <c r="M15" s="13"/>
      <c r="N15" s="13"/>
      <c r="O15" s="13"/>
      <c r="P15" s="13"/>
      <c r="Q15" s="13"/>
    </row>
    <row r="16" spans="1:17" x14ac:dyDescent="0.25">
      <c r="A16" s="13"/>
      <c r="B16" s="130" t="s">
        <v>41</v>
      </c>
      <c r="C16" s="130"/>
      <c r="D16" s="5">
        <f>SUM(C8:C15)</f>
        <v>106670.08</v>
      </c>
      <c r="E16" s="13"/>
      <c r="F16" s="13"/>
      <c r="G16" s="13"/>
      <c r="H16" s="13"/>
      <c r="I16" s="13"/>
      <c r="J16" s="13"/>
      <c r="K16" s="13"/>
      <c r="L16" s="13"/>
      <c r="M16" s="13"/>
      <c r="N16" s="13"/>
      <c r="O16" s="13"/>
      <c r="P16" s="13"/>
      <c r="Q16" s="13"/>
    </row>
    <row r="17" spans="1:17" x14ac:dyDescent="0.25">
      <c r="A17" s="13"/>
      <c r="B17" s="130" t="s">
        <v>42</v>
      </c>
      <c r="C17" s="130"/>
      <c r="D17" s="5">
        <v>6958</v>
      </c>
      <c r="E17" s="13"/>
      <c r="F17" s="13"/>
      <c r="G17" s="13"/>
      <c r="H17" s="13"/>
      <c r="I17" s="13"/>
      <c r="J17" s="13"/>
      <c r="K17" s="13"/>
      <c r="L17" s="13"/>
      <c r="M17" s="13"/>
      <c r="N17" s="13"/>
      <c r="O17" s="13"/>
      <c r="P17" s="13"/>
      <c r="Q17" s="13"/>
    </row>
    <row r="18" spans="1:17" x14ac:dyDescent="0.25">
      <c r="A18" s="13"/>
      <c r="B18" s="130" t="s">
        <v>43</v>
      </c>
      <c r="C18" s="130"/>
      <c r="D18" s="5">
        <v>410</v>
      </c>
      <c r="E18" s="13"/>
      <c r="F18" s="13"/>
      <c r="G18" s="13"/>
      <c r="H18" s="13"/>
      <c r="I18" s="13"/>
      <c r="J18" s="13"/>
      <c r="K18" s="13"/>
      <c r="L18" s="13"/>
      <c r="M18" s="13"/>
      <c r="N18" s="13"/>
      <c r="O18" s="13"/>
      <c r="P18" s="13"/>
      <c r="Q18" s="13"/>
    </row>
    <row r="19" spans="1:17" x14ac:dyDescent="0.25">
      <c r="A19" s="13"/>
      <c r="B19" s="130" t="s">
        <v>44</v>
      </c>
      <c r="C19" s="130"/>
      <c r="D19" s="5">
        <v>500</v>
      </c>
      <c r="E19" s="13"/>
      <c r="F19" s="13"/>
      <c r="G19" s="13"/>
      <c r="H19" s="13"/>
      <c r="I19" s="13"/>
      <c r="J19" s="13"/>
      <c r="K19" s="13"/>
      <c r="L19" s="13"/>
      <c r="M19" s="13"/>
      <c r="N19" s="13"/>
      <c r="O19" s="13"/>
      <c r="P19" s="13"/>
      <c r="Q19" s="13"/>
    </row>
    <row r="20" spans="1:17" x14ac:dyDescent="0.25">
      <c r="A20" s="13"/>
      <c r="B20" s="130" t="s">
        <v>45</v>
      </c>
      <c r="C20" s="130"/>
      <c r="D20" s="13"/>
      <c r="E20" s="13"/>
      <c r="F20" s="13"/>
      <c r="G20" s="13"/>
      <c r="H20" s="13"/>
      <c r="I20" s="13"/>
      <c r="J20" s="13"/>
      <c r="K20" s="13"/>
      <c r="L20" s="13"/>
      <c r="M20" s="13"/>
      <c r="N20" s="13"/>
      <c r="O20" s="13"/>
      <c r="P20" s="13"/>
      <c r="Q20" s="13"/>
    </row>
    <row r="21" spans="1:17" x14ac:dyDescent="0.25">
      <c r="A21" s="13"/>
      <c r="B21" s="130" t="s">
        <v>46</v>
      </c>
      <c r="C21" s="130"/>
      <c r="D21" s="5">
        <v>3318.8</v>
      </c>
      <c r="E21" s="13"/>
      <c r="F21" s="13"/>
      <c r="G21" s="13"/>
      <c r="H21" s="13"/>
      <c r="I21" s="13"/>
      <c r="J21" s="13"/>
      <c r="K21" s="13"/>
      <c r="L21" s="13"/>
      <c r="M21" s="13"/>
      <c r="N21" s="13"/>
      <c r="O21" s="13"/>
      <c r="P21" s="13"/>
      <c r="Q21" s="13"/>
    </row>
    <row r="22" spans="1:17" x14ac:dyDescent="0.25">
      <c r="A22" s="13"/>
      <c r="B22" s="131" t="s">
        <v>47</v>
      </c>
      <c r="C22" s="131"/>
      <c r="D22" s="6">
        <f>0.0488*D21</f>
        <v>161.95744000000002</v>
      </c>
      <c r="J22" s="2"/>
    </row>
    <row r="23" spans="1:17" x14ac:dyDescent="0.25">
      <c r="A23" s="13"/>
      <c r="B23" s="130" t="s">
        <v>52</v>
      </c>
      <c r="C23" s="130"/>
      <c r="D23" s="13"/>
      <c r="E23" s="13"/>
      <c r="F23" s="13"/>
      <c r="G23" s="13"/>
      <c r="H23" s="13"/>
      <c r="I23" s="13"/>
      <c r="J23" s="13"/>
      <c r="K23" s="13"/>
      <c r="L23" s="13"/>
      <c r="M23" s="13"/>
      <c r="N23" s="13"/>
      <c r="O23" s="13"/>
      <c r="P23" s="13"/>
      <c r="Q23" s="13"/>
    </row>
    <row r="24" spans="1:17" x14ac:dyDescent="0.25">
      <c r="A24" s="13"/>
      <c r="B24" s="130" t="s">
        <v>53</v>
      </c>
      <c r="C24" s="130"/>
      <c r="D24" s="13"/>
      <c r="E24" s="13"/>
      <c r="F24" s="13"/>
      <c r="G24" s="13"/>
      <c r="H24" s="13"/>
      <c r="I24" s="13"/>
      <c r="J24" s="13"/>
      <c r="K24" s="13"/>
      <c r="L24" s="13"/>
      <c r="M24" s="13"/>
      <c r="N24" s="13"/>
      <c r="O24" s="13"/>
      <c r="P24" s="13"/>
      <c r="Q24" s="13"/>
    </row>
    <row r="25" spans="1:17" x14ac:dyDescent="0.25">
      <c r="A25" s="13"/>
      <c r="B25" s="133" t="s">
        <v>20</v>
      </c>
      <c r="C25" s="133"/>
      <c r="D25" s="5">
        <f>SUM(D16:D24)</f>
        <v>118018.83744</v>
      </c>
      <c r="E25" s="13"/>
      <c r="F25" s="13"/>
      <c r="G25" s="13"/>
      <c r="H25" s="13"/>
      <c r="I25" s="13"/>
      <c r="J25" s="13"/>
      <c r="K25" s="13"/>
      <c r="L25" s="13"/>
      <c r="M25" s="13"/>
      <c r="N25" s="13"/>
      <c r="O25" s="13"/>
      <c r="P25" s="13"/>
      <c r="Q25" s="13"/>
    </row>
    <row r="26" spans="1:17" x14ac:dyDescent="0.25">
      <c r="A26" s="13"/>
      <c r="B26" s="13"/>
      <c r="C26" s="13"/>
      <c r="D26" s="13"/>
      <c r="E26" s="13"/>
      <c r="F26" s="13"/>
      <c r="G26" s="13"/>
      <c r="H26" s="13"/>
      <c r="I26" s="13"/>
      <c r="J26" s="13"/>
      <c r="K26" s="13"/>
      <c r="L26" s="13"/>
      <c r="M26" s="13"/>
      <c r="N26" s="13"/>
      <c r="O26" s="13"/>
      <c r="P26" s="13"/>
      <c r="Q26" s="13"/>
    </row>
    <row r="27" spans="1:17" ht="21" customHeight="1" x14ac:dyDescent="0.35">
      <c r="A27" s="126" t="s">
        <v>50</v>
      </c>
      <c r="B27" s="126"/>
      <c r="C27" s="12" t="s">
        <v>16</v>
      </c>
      <c r="D27" s="12" t="s">
        <v>17</v>
      </c>
      <c r="E27" s="12" t="s">
        <v>18</v>
      </c>
      <c r="F27" s="12" t="s">
        <v>19</v>
      </c>
      <c r="G27" s="13"/>
      <c r="H27" s="13"/>
      <c r="I27" s="13"/>
      <c r="J27" s="13"/>
      <c r="K27" s="13"/>
      <c r="L27" s="13"/>
      <c r="M27" s="13"/>
      <c r="N27" s="13"/>
      <c r="O27" s="13"/>
      <c r="P27" s="13"/>
      <c r="Q27" s="13"/>
    </row>
    <row r="28" spans="1:17" x14ac:dyDescent="0.25">
      <c r="B28" t="s">
        <v>32</v>
      </c>
      <c r="C28" s="4">
        <f>D16-SUM(C13:C14)</f>
        <v>86670.080000000002</v>
      </c>
      <c r="D28" s="4">
        <v>0</v>
      </c>
      <c r="E28">
        <v>25</v>
      </c>
      <c r="F28" s="4">
        <f>(C28-D28)/E28</f>
        <v>3466.8032000000003</v>
      </c>
      <c r="G28" s="13"/>
      <c r="H28" s="13"/>
      <c r="I28" s="13"/>
      <c r="J28" s="13"/>
      <c r="K28" s="13"/>
      <c r="L28" s="13"/>
      <c r="M28" s="13"/>
      <c r="N28" s="13"/>
      <c r="O28" s="13"/>
      <c r="P28" s="13"/>
      <c r="Q28" s="13"/>
    </row>
    <row r="29" spans="1:17" ht="15" customHeight="1" x14ac:dyDescent="0.25">
      <c r="B29" t="s">
        <v>191</v>
      </c>
      <c r="C29" s="4">
        <v>4650</v>
      </c>
      <c r="D29">
        <v>0</v>
      </c>
      <c r="E29">
        <v>10</v>
      </c>
      <c r="F29" s="4">
        <f t="shared" ref="F29:F30" si="1">(C29-D29)/E29</f>
        <v>465</v>
      </c>
      <c r="G29" s="13"/>
      <c r="H29" s="13"/>
      <c r="I29" s="13"/>
      <c r="J29" s="13"/>
      <c r="K29" s="13"/>
      <c r="L29" s="13"/>
      <c r="M29" s="13"/>
      <c r="N29" s="13"/>
      <c r="O29" s="13"/>
      <c r="P29" s="13"/>
      <c r="Q29" s="13"/>
    </row>
    <row r="30" spans="1:17" x14ac:dyDescent="0.25">
      <c r="A30" s="13"/>
      <c r="B30" t="s">
        <v>190</v>
      </c>
      <c r="C30" s="4">
        <v>15750</v>
      </c>
      <c r="D30">
        <v>0</v>
      </c>
      <c r="E30">
        <v>10</v>
      </c>
      <c r="F30" s="4">
        <f t="shared" si="1"/>
        <v>1575</v>
      </c>
      <c r="G30" s="13"/>
      <c r="H30" s="13"/>
      <c r="I30" s="13"/>
      <c r="J30" s="13"/>
      <c r="K30" s="13"/>
      <c r="L30" s="13"/>
      <c r="M30" s="13"/>
      <c r="N30" s="13"/>
      <c r="O30" s="13"/>
      <c r="P30" s="13"/>
      <c r="Q30" s="13"/>
    </row>
    <row r="31" spans="1:17" x14ac:dyDescent="0.25">
      <c r="A31" s="13"/>
      <c r="B31" s="13"/>
      <c r="C31" s="13"/>
      <c r="D31" s="13"/>
      <c r="E31" s="13"/>
      <c r="F31" s="13"/>
      <c r="G31" s="13"/>
      <c r="H31" s="13"/>
      <c r="I31" s="13"/>
      <c r="J31" s="13"/>
      <c r="K31" s="13"/>
      <c r="L31" s="13"/>
      <c r="M31" s="13"/>
      <c r="N31" s="13"/>
      <c r="O31" s="13"/>
      <c r="P31" s="13"/>
      <c r="Q31" s="13"/>
    </row>
    <row r="32" spans="1:17" x14ac:dyDescent="0.25">
      <c r="A32" s="13"/>
      <c r="B32" s="13"/>
      <c r="C32" s="13"/>
      <c r="D32" s="13"/>
      <c r="E32" s="13"/>
      <c r="F32" s="13"/>
      <c r="G32" s="13"/>
      <c r="H32" s="13"/>
      <c r="I32" s="13"/>
      <c r="J32" s="13"/>
      <c r="K32" s="13"/>
      <c r="L32" s="13"/>
      <c r="M32" s="13"/>
      <c r="N32" s="13"/>
      <c r="O32" s="13"/>
      <c r="P32" s="13"/>
      <c r="Q32" s="13"/>
    </row>
    <row r="33" spans="1:17" x14ac:dyDescent="0.25">
      <c r="A33" s="13"/>
      <c r="B33" s="13"/>
      <c r="C33" s="13"/>
      <c r="D33" s="13"/>
      <c r="E33" s="13"/>
      <c r="F33" s="13"/>
      <c r="G33" s="13"/>
      <c r="H33" s="13"/>
      <c r="I33" s="13"/>
      <c r="J33" s="13"/>
      <c r="K33" s="13"/>
      <c r="L33" s="13"/>
      <c r="M33" s="13"/>
      <c r="N33" s="13"/>
      <c r="O33" s="13"/>
      <c r="P33" s="13"/>
      <c r="Q33" s="13"/>
    </row>
    <row r="34" spans="1:17" x14ac:dyDescent="0.25">
      <c r="A34" s="13"/>
      <c r="B34" s="13"/>
      <c r="C34" s="13"/>
      <c r="D34" s="13"/>
      <c r="E34" s="13"/>
      <c r="F34" s="13"/>
      <c r="G34" s="13"/>
      <c r="H34" s="13"/>
      <c r="I34" s="13"/>
      <c r="J34" s="13"/>
      <c r="K34" s="13"/>
      <c r="L34" s="13"/>
      <c r="M34" s="13"/>
      <c r="N34" s="13"/>
      <c r="O34" s="13"/>
    </row>
  </sheetData>
  <mergeCells count="25">
    <mergeCell ref="A27:B27"/>
    <mergeCell ref="A1:C1"/>
    <mergeCell ref="A2:B2"/>
    <mergeCell ref="A3:B3"/>
    <mergeCell ref="A4:B4"/>
    <mergeCell ref="A5:B5"/>
    <mergeCell ref="A14:B14"/>
    <mergeCell ref="B22:C22"/>
    <mergeCell ref="A8:B8"/>
    <mergeCell ref="A9:B9"/>
    <mergeCell ref="A10:B10"/>
    <mergeCell ref="A13:B13"/>
    <mergeCell ref="A12:B12"/>
    <mergeCell ref="A15:B15"/>
    <mergeCell ref="A7:B7"/>
    <mergeCell ref="A11:B11"/>
    <mergeCell ref="B16:C16"/>
    <mergeCell ref="B23:C23"/>
    <mergeCell ref="B24:C24"/>
    <mergeCell ref="B25:C25"/>
    <mergeCell ref="B17:C17"/>
    <mergeCell ref="B18:C18"/>
    <mergeCell ref="B19:C19"/>
    <mergeCell ref="B20:C20"/>
    <mergeCell ref="B21:C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E41FF-24A9-402E-B0E5-B352F6C76898}">
  <sheetPr codeName="Sheet7"/>
  <dimension ref="A1:O30"/>
  <sheetViews>
    <sheetView workbookViewId="0">
      <selection activeCell="C31" sqref="C31"/>
    </sheetView>
  </sheetViews>
  <sheetFormatPr defaultRowHeight="15" x14ac:dyDescent="0.25"/>
  <cols>
    <col min="3" max="3" width="12.28515625" customWidth="1"/>
    <col min="4" max="4" width="12.42578125" customWidth="1"/>
    <col min="5" max="5" width="12.140625" customWidth="1"/>
    <col min="6" max="6" width="11.5703125" customWidth="1"/>
    <col min="11" max="11" width="11.28515625" bestFit="1" customWidth="1"/>
    <col min="12" max="12" width="11.28515625" customWidth="1"/>
    <col min="13" max="13" width="10.28515625" bestFit="1" customWidth="1"/>
  </cols>
  <sheetData>
    <row r="1" spans="1:15" ht="21" x14ac:dyDescent="0.35">
      <c r="A1" s="129" t="s">
        <v>21</v>
      </c>
      <c r="B1" s="129"/>
      <c r="C1" s="9" t="s">
        <v>22</v>
      </c>
      <c r="D1" s="9" t="s">
        <v>23</v>
      </c>
      <c r="E1" s="11" t="s">
        <v>3</v>
      </c>
      <c r="F1" s="13"/>
      <c r="G1" s="13"/>
      <c r="H1" s="13"/>
      <c r="I1" s="13"/>
      <c r="J1" s="13"/>
      <c r="K1" s="13"/>
      <c r="L1" s="13"/>
      <c r="M1" s="13"/>
      <c r="N1" s="13"/>
      <c r="O1" s="13"/>
    </row>
    <row r="2" spans="1:15" x14ac:dyDescent="0.25">
      <c r="A2" s="130" t="s">
        <v>55</v>
      </c>
      <c r="B2" s="130"/>
      <c r="C2" s="8">
        <f>1710/28.5</f>
        <v>60</v>
      </c>
      <c r="D2" s="10">
        <v>28.5</v>
      </c>
      <c r="E2" s="10">
        <f>C2*D2</f>
        <v>1710</v>
      </c>
      <c r="F2" s="13"/>
      <c r="G2" s="13"/>
      <c r="H2" s="13"/>
      <c r="I2" s="13"/>
      <c r="J2" s="13" t="s">
        <v>25</v>
      </c>
      <c r="K2" s="13"/>
      <c r="L2" s="13"/>
      <c r="M2" s="13"/>
      <c r="N2" s="13"/>
      <c r="O2" s="13"/>
    </row>
    <row r="3" spans="1:15" x14ac:dyDescent="0.25">
      <c r="A3" s="130" t="s">
        <v>13</v>
      </c>
      <c r="B3" s="130"/>
      <c r="C3" s="13"/>
      <c r="D3" s="13"/>
      <c r="E3" s="10">
        <f t="shared" ref="E3:E4" si="0">C3*D3</f>
        <v>0</v>
      </c>
      <c r="F3" s="13"/>
      <c r="G3" s="13"/>
      <c r="H3" s="13"/>
      <c r="I3" s="13"/>
      <c r="J3" s="13" t="s">
        <v>26</v>
      </c>
      <c r="K3" s="13">
        <v>54853</v>
      </c>
      <c r="L3" s="13" t="s">
        <v>27</v>
      </c>
      <c r="M3" s="13"/>
      <c r="N3" s="13"/>
      <c r="O3" s="13"/>
    </row>
    <row r="4" spans="1:15" x14ac:dyDescent="0.25">
      <c r="A4" s="130" t="s">
        <v>28</v>
      </c>
      <c r="B4" s="130"/>
      <c r="C4" s="8">
        <v>60</v>
      </c>
      <c r="D4" s="10">
        <v>16.38</v>
      </c>
      <c r="E4" s="10">
        <f t="shared" si="0"/>
        <v>982.8</v>
      </c>
      <c r="F4" s="13"/>
      <c r="G4" s="13"/>
      <c r="H4" s="13"/>
      <c r="I4" s="13"/>
      <c r="J4" s="13" t="s">
        <v>29</v>
      </c>
      <c r="K4" s="13">
        <v>64044</v>
      </c>
      <c r="L4" s="13" t="s">
        <v>27</v>
      </c>
      <c r="M4" s="13"/>
      <c r="N4" s="13"/>
      <c r="O4" s="13"/>
    </row>
    <row r="5" spans="1:15" ht="15" customHeight="1" x14ac:dyDescent="0.25">
      <c r="A5" s="130" t="s">
        <v>56</v>
      </c>
      <c r="B5" s="130"/>
      <c r="C5" s="13"/>
      <c r="D5" s="13"/>
      <c r="E5" s="13"/>
      <c r="F5" s="13"/>
      <c r="G5" s="13"/>
      <c r="H5" s="13"/>
      <c r="I5" s="13"/>
      <c r="J5" s="13"/>
      <c r="K5" s="13"/>
      <c r="L5" s="13"/>
      <c r="M5" s="13"/>
      <c r="N5" s="13"/>
      <c r="O5" s="13"/>
    </row>
    <row r="6" spans="1:15" ht="15" customHeight="1" x14ac:dyDescent="0.25">
      <c r="A6" s="13"/>
      <c r="B6" s="13"/>
      <c r="C6" s="13"/>
      <c r="D6" s="13"/>
      <c r="E6" s="13"/>
      <c r="F6" s="13"/>
      <c r="G6" s="13"/>
      <c r="H6" s="13"/>
      <c r="I6" s="13"/>
      <c r="J6" s="13"/>
      <c r="K6" s="13"/>
      <c r="L6" s="13"/>
      <c r="M6" s="13"/>
      <c r="N6" s="13"/>
      <c r="O6" s="13"/>
    </row>
    <row r="7" spans="1:15" ht="21" customHeight="1" x14ac:dyDescent="0.35">
      <c r="A7" s="129" t="s">
        <v>54</v>
      </c>
      <c r="B7" s="129"/>
      <c r="C7" s="14"/>
      <c r="D7" s="13"/>
      <c r="E7" s="13"/>
      <c r="F7" s="13"/>
      <c r="G7" s="13"/>
      <c r="H7" s="13"/>
      <c r="L7" s="13"/>
      <c r="M7" s="13"/>
      <c r="N7" s="13"/>
      <c r="O7" s="13"/>
    </row>
    <row r="8" spans="1:15" x14ac:dyDescent="0.25">
      <c r="A8" s="130" t="s">
        <v>32</v>
      </c>
      <c r="B8" s="130"/>
      <c r="C8" s="5">
        <v>85802.57</v>
      </c>
      <c r="D8" s="13"/>
      <c r="E8" s="13"/>
      <c r="F8" s="13"/>
      <c r="G8" s="13"/>
      <c r="H8" s="13"/>
      <c r="L8" s="13"/>
      <c r="M8" s="13"/>
      <c r="N8" s="13"/>
      <c r="O8" s="13"/>
    </row>
    <row r="9" spans="1:15" x14ac:dyDescent="0.25">
      <c r="A9" s="130" t="s">
        <v>33</v>
      </c>
      <c r="B9" s="130"/>
      <c r="C9" s="5">
        <v>31608.74</v>
      </c>
      <c r="D9" s="13"/>
      <c r="E9" s="13"/>
      <c r="F9" s="13"/>
      <c r="G9" s="13"/>
      <c r="H9" s="13"/>
      <c r="L9" s="13"/>
      <c r="M9" s="13"/>
      <c r="N9" s="13"/>
      <c r="O9" s="13"/>
    </row>
    <row r="10" spans="1:15" x14ac:dyDescent="0.25">
      <c r="A10" s="130" t="s">
        <v>34</v>
      </c>
      <c r="B10" s="130"/>
      <c r="C10" s="5">
        <v>9109.01</v>
      </c>
      <c r="D10" s="13"/>
      <c r="E10" s="13"/>
      <c r="F10" s="13"/>
      <c r="G10" s="13"/>
      <c r="H10" s="13"/>
      <c r="I10" s="13"/>
      <c r="J10" s="13"/>
      <c r="K10" s="13"/>
      <c r="L10" s="13"/>
      <c r="M10" s="13"/>
      <c r="N10" s="13"/>
      <c r="O10" s="13"/>
    </row>
    <row r="11" spans="1:15" x14ac:dyDescent="0.25">
      <c r="A11" s="130" t="s">
        <v>35</v>
      </c>
      <c r="B11" s="130"/>
      <c r="C11" s="5">
        <v>12660.91</v>
      </c>
      <c r="D11" s="13"/>
      <c r="E11" s="13"/>
      <c r="F11" s="13"/>
      <c r="G11" s="13"/>
      <c r="H11" s="13"/>
      <c r="I11" s="13"/>
      <c r="J11" s="13"/>
      <c r="K11" s="13"/>
      <c r="L11" s="13"/>
      <c r="M11" s="13"/>
      <c r="N11" s="13"/>
      <c r="O11" s="13"/>
    </row>
    <row r="12" spans="1:15" x14ac:dyDescent="0.25">
      <c r="A12" s="131" t="s">
        <v>36</v>
      </c>
      <c r="B12" s="131"/>
      <c r="C12" s="5">
        <v>6989.6</v>
      </c>
      <c r="D12" s="13"/>
      <c r="E12" s="13"/>
      <c r="F12" s="13"/>
      <c r="G12" s="13"/>
      <c r="H12" s="13"/>
      <c r="I12" s="13"/>
      <c r="J12" s="13"/>
      <c r="K12" s="13"/>
      <c r="L12" s="13"/>
      <c r="M12" s="13"/>
      <c r="N12" s="13"/>
      <c r="O12" s="13"/>
    </row>
    <row r="13" spans="1:15" x14ac:dyDescent="0.25">
      <c r="A13" s="130" t="s">
        <v>37</v>
      </c>
      <c r="B13" s="130"/>
      <c r="C13" s="5">
        <v>26000</v>
      </c>
      <c r="D13" s="13"/>
      <c r="E13" s="13"/>
      <c r="F13" s="5"/>
      <c r="G13" s="13"/>
      <c r="H13" s="13"/>
      <c r="I13" s="13"/>
      <c r="J13" s="13"/>
      <c r="K13" s="13"/>
      <c r="L13" s="13"/>
      <c r="M13" s="13"/>
      <c r="N13" s="13"/>
      <c r="O13" s="13"/>
    </row>
    <row r="14" spans="1:15" x14ac:dyDescent="0.25">
      <c r="A14" s="130" t="s">
        <v>38</v>
      </c>
      <c r="B14" s="130"/>
      <c r="C14" s="5">
        <v>3600</v>
      </c>
      <c r="D14" s="13"/>
      <c r="E14" s="13"/>
      <c r="F14" s="13"/>
      <c r="G14" s="13"/>
      <c r="H14" s="13"/>
      <c r="I14" s="13"/>
      <c r="J14" s="13"/>
      <c r="K14" s="13"/>
      <c r="L14" s="13"/>
      <c r="M14" s="13"/>
      <c r="N14" s="13"/>
      <c r="O14" s="13"/>
    </row>
    <row r="15" spans="1:15" x14ac:dyDescent="0.25">
      <c r="A15" s="131" t="s">
        <v>39</v>
      </c>
      <c r="B15" s="131"/>
      <c r="C15" s="5">
        <v>-18271.349999999999</v>
      </c>
      <c r="D15" s="13"/>
      <c r="E15" s="13"/>
      <c r="F15" s="13"/>
      <c r="G15" s="13"/>
      <c r="H15" s="13"/>
      <c r="I15" s="13"/>
      <c r="J15" s="13"/>
      <c r="K15" s="13"/>
      <c r="L15" s="13"/>
      <c r="M15" s="13"/>
      <c r="N15" s="13"/>
      <c r="O15" s="13"/>
    </row>
    <row r="16" spans="1:15" x14ac:dyDescent="0.25">
      <c r="A16" s="13"/>
      <c r="B16" s="130" t="s">
        <v>41</v>
      </c>
      <c r="C16" s="130"/>
      <c r="D16" s="5">
        <f>SUM(C8:C15)</f>
        <v>157499.48000000001</v>
      </c>
      <c r="E16" s="13"/>
      <c r="F16" s="13"/>
      <c r="G16" s="13"/>
      <c r="H16" s="13"/>
      <c r="I16" s="13"/>
      <c r="J16" s="13"/>
      <c r="K16" s="13"/>
      <c r="L16" s="13"/>
      <c r="M16" s="13"/>
      <c r="N16" s="13"/>
      <c r="O16" s="13"/>
    </row>
    <row r="17" spans="1:15" x14ac:dyDescent="0.25">
      <c r="A17" s="13"/>
      <c r="B17" s="130" t="s">
        <v>42</v>
      </c>
      <c r="C17" s="130"/>
      <c r="D17" s="5">
        <v>8520</v>
      </c>
      <c r="E17" s="13"/>
      <c r="F17" s="13"/>
      <c r="G17" s="13"/>
      <c r="H17" s="13"/>
      <c r="I17" s="13"/>
      <c r="J17" s="13"/>
      <c r="K17" s="13"/>
      <c r="L17" s="13"/>
      <c r="M17" s="13"/>
      <c r="N17" s="13"/>
      <c r="O17" s="13"/>
    </row>
    <row r="18" spans="1:15" x14ac:dyDescent="0.25">
      <c r="A18" s="13"/>
      <c r="B18" s="130" t="s">
        <v>43</v>
      </c>
      <c r="C18" s="130"/>
      <c r="D18" s="5">
        <v>485.33</v>
      </c>
      <c r="E18" s="13"/>
      <c r="F18" s="13"/>
      <c r="G18" s="13"/>
      <c r="H18" s="13"/>
      <c r="I18" s="13"/>
      <c r="J18" s="13"/>
      <c r="K18" s="13"/>
      <c r="L18" s="13"/>
      <c r="M18" s="13"/>
      <c r="N18" s="13"/>
      <c r="O18" s="13"/>
    </row>
    <row r="19" spans="1:15" x14ac:dyDescent="0.25">
      <c r="A19" s="13"/>
      <c r="B19" s="130" t="s">
        <v>44</v>
      </c>
      <c r="C19" s="130"/>
      <c r="D19" s="5">
        <v>500</v>
      </c>
      <c r="E19" s="13"/>
      <c r="F19" s="13"/>
      <c r="G19" s="13"/>
      <c r="H19" s="13"/>
      <c r="I19" s="13"/>
      <c r="J19" s="13"/>
      <c r="K19" s="13"/>
      <c r="L19" s="13"/>
      <c r="M19" s="13"/>
      <c r="N19" s="13"/>
      <c r="O19" s="13"/>
    </row>
    <row r="20" spans="1:15" x14ac:dyDescent="0.25">
      <c r="A20" s="13"/>
      <c r="B20" s="130" t="s">
        <v>45</v>
      </c>
      <c r="C20" s="130"/>
      <c r="D20" s="13"/>
      <c r="E20" s="13"/>
      <c r="F20" s="13"/>
      <c r="G20" s="13"/>
      <c r="H20" s="13"/>
      <c r="I20" s="13"/>
      <c r="J20" s="13"/>
      <c r="K20" s="13"/>
      <c r="L20" s="13"/>
      <c r="M20" s="13"/>
      <c r="N20" s="13"/>
      <c r="O20" s="13"/>
    </row>
    <row r="21" spans="1:15" x14ac:dyDescent="0.25">
      <c r="A21" s="13"/>
      <c r="B21" s="130" t="s">
        <v>19</v>
      </c>
      <c r="C21" s="130"/>
      <c r="D21" s="5">
        <v>4907.9799999999996</v>
      </c>
      <c r="E21" s="13"/>
      <c r="F21" s="13"/>
      <c r="G21" s="13"/>
      <c r="H21" s="13"/>
      <c r="I21" s="13"/>
      <c r="J21" s="13"/>
      <c r="K21" s="13"/>
      <c r="L21" s="13"/>
      <c r="M21" s="13"/>
      <c r="N21" s="13"/>
      <c r="O21" s="13"/>
    </row>
    <row r="22" spans="1:15" x14ac:dyDescent="0.25">
      <c r="A22" s="13"/>
      <c r="B22" s="131" t="s">
        <v>57</v>
      </c>
      <c r="C22" s="131"/>
      <c r="D22" s="5">
        <f>0.0488*D21</f>
        <v>239.509424</v>
      </c>
      <c r="E22" s="13"/>
      <c r="F22" s="13"/>
      <c r="G22" s="13"/>
      <c r="H22" s="13"/>
      <c r="I22" s="13"/>
      <c r="J22" s="13"/>
      <c r="K22" s="13"/>
      <c r="L22" s="13"/>
      <c r="M22" s="13"/>
      <c r="N22" s="13"/>
      <c r="O22" s="13"/>
    </row>
    <row r="23" spans="1:15" x14ac:dyDescent="0.25">
      <c r="A23" s="13"/>
      <c r="B23" s="130" t="s">
        <v>52</v>
      </c>
      <c r="C23" s="130"/>
      <c r="D23" s="13"/>
      <c r="E23" s="13"/>
      <c r="F23" s="13"/>
      <c r="G23" s="13"/>
      <c r="H23" s="13"/>
      <c r="I23" s="13"/>
      <c r="J23" s="13"/>
      <c r="K23" s="13"/>
      <c r="L23" s="13"/>
      <c r="M23" s="13"/>
      <c r="N23" s="13"/>
      <c r="O23" s="13"/>
    </row>
    <row r="24" spans="1:15" x14ac:dyDescent="0.25">
      <c r="A24" s="13"/>
      <c r="B24" s="130" t="s">
        <v>53</v>
      </c>
      <c r="C24" s="130"/>
      <c r="D24" s="13"/>
      <c r="E24" s="13"/>
      <c r="F24" s="13"/>
      <c r="G24" s="13"/>
      <c r="H24" s="13"/>
      <c r="I24" s="13"/>
      <c r="J24" s="13"/>
      <c r="K24" s="13"/>
      <c r="L24" s="13"/>
      <c r="M24" s="13"/>
      <c r="N24" s="13"/>
      <c r="O24" s="13"/>
    </row>
    <row r="25" spans="1:15" x14ac:dyDescent="0.25">
      <c r="A25" s="13"/>
      <c r="B25" s="133" t="s">
        <v>20</v>
      </c>
      <c r="C25" s="133"/>
      <c r="D25" s="5">
        <f>SUM(D16:D24)</f>
        <v>172152.299424</v>
      </c>
      <c r="E25" s="13"/>
      <c r="F25" s="13"/>
      <c r="G25" s="13"/>
      <c r="H25" s="13"/>
      <c r="I25" s="13"/>
      <c r="J25" s="13"/>
      <c r="K25" s="13"/>
      <c r="L25" s="13"/>
      <c r="M25" s="13"/>
      <c r="N25" s="13"/>
      <c r="O25" s="13"/>
    </row>
    <row r="26" spans="1:15" x14ac:dyDescent="0.25">
      <c r="A26" s="13"/>
      <c r="B26" s="13"/>
      <c r="C26" s="13"/>
      <c r="D26" s="13"/>
      <c r="E26" s="13"/>
      <c r="F26" s="13"/>
      <c r="G26" s="13"/>
      <c r="H26" s="13"/>
      <c r="I26" s="13"/>
      <c r="J26" s="13"/>
      <c r="K26" s="13"/>
      <c r="L26" s="5"/>
      <c r="M26" s="13"/>
      <c r="N26" s="13"/>
      <c r="O26" s="13"/>
    </row>
    <row r="27" spans="1:15" ht="21" x14ac:dyDescent="0.35">
      <c r="A27" s="126" t="s">
        <v>50</v>
      </c>
      <c r="B27" s="126"/>
      <c r="C27" s="12" t="s">
        <v>16</v>
      </c>
      <c r="D27" s="12" t="s">
        <v>17</v>
      </c>
      <c r="E27" s="12" t="s">
        <v>18</v>
      </c>
      <c r="F27" s="12" t="s">
        <v>19</v>
      </c>
      <c r="G27" s="13"/>
      <c r="H27" s="13"/>
      <c r="I27" s="13"/>
      <c r="J27" s="13"/>
      <c r="K27" s="13"/>
      <c r="L27" s="13"/>
      <c r="M27" s="13"/>
      <c r="N27" s="13"/>
      <c r="O27" s="13"/>
    </row>
    <row r="28" spans="1:15" x14ac:dyDescent="0.25">
      <c r="B28" t="s">
        <v>32</v>
      </c>
      <c r="C28" s="4">
        <f>D16-SUM(C13:C14)</f>
        <v>127899.48000000001</v>
      </c>
      <c r="D28" s="4">
        <v>0</v>
      </c>
      <c r="E28">
        <v>25</v>
      </c>
      <c r="F28" s="4">
        <f>(C28-D28)/E28</f>
        <v>5115.9792000000007</v>
      </c>
      <c r="G28" s="13"/>
      <c r="H28" s="13"/>
      <c r="I28" s="13"/>
      <c r="J28" s="13"/>
      <c r="K28" s="13"/>
      <c r="L28" s="13"/>
      <c r="M28" s="13"/>
      <c r="N28" s="13"/>
      <c r="O28" s="13"/>
    </row>
    <row r="29" spans="1:15" x14ac:dyDescent="0.25">
      <c r="B29" t="s">
        <v>191</v>
      </c>
      <c r="C29" s="4">
        <v>4650</v>
      </c>
      <c r="D29">
        <v>0</v>
      </c>
      <c r="E29">
        <v>10</v>
      </c>
      <c r="F29" s="4">
        <f t="shared" ref="F29:F30" si="1">(C29-D29)/E29</f>
        <v>465</v>
      </c>
      <c r="G29" s="13"/>
      <c r="H29" s="13"/>
      <c r="I29" s="13"/>
      <c r="J29" s="13"/>
      <c r="K29" s="13"/>
      <c r="L29" s="13"/>
      <c r="M29" s="13"/>
      <c r="N29" s="13"/>
      <c r="O29" s="13"/>
    </row>
    <row r="30" spans="1:15" x14ac:dyDescent="0.25">
      <c r="B30" t="s">
        <v>190</v>
      </c>
      <c r="C30" s="4">
        <v>17600</v>
      </c>
      <c r="D30">
        <v>0</v>
      </c>
      <c r="E30">
        <v>10</v>
      </c>
      <c r="F30" s="4">
        <f t="shared" si="1"/>
        <v>1760</v>
      </c>
    </row>
  </sheetData>
  <mergeCells count="25">
    <mergeCell ref="A1:B1"/>
    <mergeCell ref="A7:B7"/>
    <mergeCell ref="A27:B27"/>
    <mergeCell ref="A2:B2"/>
    <mergeCell ref="A3:B3"/>
    <mergeCell ref="A4:B4"/>
    <mergeCell ref="A5:B5"/>
    <mergeCell ref="A13:B13"/>
    <mergeCell ref="B22:C22"/>
    <mergeCell ref="A8:B8"/>
    <mergeCell ref="A9:B9"/>
    <mergeCell ref="A10:B10"/>
    <mergeCell ref="A11:B11"/>
    <mergeCell ref="A12:B12"/>
    <mergeCell ref="A15:B15"/>
    <mergeCell ref="A14:B14"/>
    <mergeCell ref="B25:C25"/>
    <mergeCell ref="B21:C21"/>
    <mergeCell ref="B23:C23"/>
    <mergeCell ref="B24:C24"/>
    <mergeCell ref="B16:C16"/>
    <mergeCell ref="B17:C17"/>
    <mergeCell ref="B18:C18"/>
    <mergeCell ref="B19:C19"/>
    <mergeCell ref="B20:C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867B7-3E80-4E2F-A771-22AEF900F8AC}">
  <sheetPr codeName="Sheet8"/>
  <dimension ref="A1:L37"/>
  <sheetViews>
    <sheetView workbookViewId="0">
      <selection sqref="A1:XFD1"/>
    </sheetView>
  </sheetViews>
  <sheetFormatPr defaultRowHeight="15" x14ac:dyDescent="0.25"/>
  <cols>
    <col min="3" max="3" width="12.140625" customWidth="1"/>
    <col min="4" max="4" width="12.28515625" customWidth="1"/>
    <col min="5" max="5" width="10.5703125" customWidth="1"/>
    <col min="6" max="6" width="17.5703125" bestFit="1" customWidth="1"/>
    <col min="7" max="7" width="10.5703125" customWidth="1"/>
    <col min="8" max="8" width="11.7109375" bestFit="1" customWidth="1"/>
    <col min="12" max="12" width="12.7109375" bestFit="1" customWidth="1"/>
  </cols>
  <sheetData>
    <row r="1" spans="1:12" ht="33" x14ac:dyDescent="0.35">
      <c r="A1" s="129" t="s">
        <v>21</v>
      </c>
      <c r="B1" s="129"/>
      <c r="C1" s="9" t="s">
        <v>22</v>
      </c>
      <c r="D1" s="9" t="s">
        <v>23</v>
      </c>
      <c r="E1" s="11" t="s">
        <v>3</v>
      </c>
    </row>
    <row r="2" spans="1:12" x14ac:dyDescent="0.25">
      <c r="A2" s="130" t="s">
        <v>55</v>
      </c>
      <c r="B2" s="130"/>
      <c r="C2" s="8">
        <v>80</v>
      </c>
      <c r="D2" s="10">
        <v>28.5</v>
      </c>
      <c r="E2" s="10">
        <f>C2*D2</f>
        <v>2280</v>
      </c>
      <c r="J2" s="13" t="s">
        <v>25</v>
      </c>
      <c r="K2" s="13"/>
      <c r="L2" s="13"/>
    </row>
    <row r="3" spans="1:12" x14ac:dyDescent="0.25">
      <c r="A3" s="130" t="s">
        <v>13</v>
      </c>
      <c r="B3" s="130"/>
      <c r="C3" s="13"/>
      <c r="D3" s="13"/>
      <c r="E3" s="10">
        <f t="shared" ref="E3:E4" si="0">C3*D3</f>
        <v>0</v>
      </c>
      <c r="J3" s="13" t="s">
        <v>26</v>
      </c>
      <c r="K3" s="13">
        <v>67719</v>
      </c>
      <c r="L3" s="13" t="s">
        <v>27</v>
      </c>
    </row>
    <row r="4" spans="1:12" x14ac:dyDescent="0.25">
      <c r="A4" s="130" t="s">
        <v>28</v>
      </c>
      <c r="B4" s="130"/>
      <c r="C4" s="8">
        <v>80</v>
      </c>
      <c r="D4" s="10">
        <v>16.38</v>
      </c>
      <c r="E4" s="10">
        <f t="shared" si="0"/>
        <v>1310.3999999999999</v>
      </c>
      <c r="J4" s="13" t="s">
        <v>29</v>
      </c>
      <c r="K4" s="13">
        <v>80327</v>
      </c>
      <c r="L4" s="13" t="s">
        <v>27</v>
      </c>
    </row>
    <row r="5" spans="1:12" x14ac:dyDescent="0.25">
      <c r="A5" s="130" t="s">
        <v>30</v>
      </c>
      <c r="B5" s="130"/>
      <c r="C5" s="13"/>
      <c r="D5" s="13"/>
      <c r="E5" s="13"/>
    </row>
    <row r="6" spans="1:12" x14ac:dyDescent="0.25">
      <c r="A6" s="13"/>
      <c r="B6" s="13"/>
      <c r="C6" s="13"/>
      <c r="D6" s="13"/>
      <c r="E6" s="13"/>
    </row>
    <row r="7" spans="1:12" ht="21" x14ac:dyDescent="0.35">
      <c r="A7" s="134" t="s">
        <v>54</v>
      </c>
      <c r="B7" s="134"/>
      <c r="C7" s="13"/>
      <c r="D7" s="13"/>
      <c r="E7" s="13"/>
      <c r="F7" s="13"/>
      <c r="G7" s="13"/>
    </row>
    <row r="8" spans="1:12" x14ac:dyDescent="0.25">
      <c r="A8" s="130" t="s">
        <v>32</v>
      </c>
      <c r="B8" s="130"/>
      <c r="C8" s="5">
        <v>99123.21</v>
      </c>
      <c r="D8" s="13"/>
      <c r="E8" s="13"/>
      <c r="F8" s="13"/>
      <c r="G8" s="13"/>
      <c r="H8" s="13"/>
      <c r="L8" s="13"/>
    </row>
    <row r="9" spans="1:12" x14ac:dyDescent="0.25">
      <c r="A9" s="130" t="s">
        <v>33</v>
      </c>
      <c r="B9" s="130"/>
      <c r="C9" s="5">
        <v>38618.14</v>
      </c>
      <c r="D9" s="13"/>
      <c r="E9" s="13"/>
      <c r="F9" s="13"/>
      <c r="G9" s="13"/>
      <c r="H9" s="13"/>
      <c r="L9" s="13"/>
    </row>
    <row r="10" spans="1:12" x14ac:dyDescent="0.25">
      <c r="A10" s="130" t="s">
        <v>34</v>
      </c>
      <c r="B10" s="130"/>
      <c r="C10" s="5">
        <v>15129.1</v>
      </c>
      <c r="D10" s="13"/>
      <c r="E10" s="13"/>
      <c r="F10" s="13"/>
      <c r="G10" s="13"/>
      <c r="H10" s="13"/>
      <c r="I10" s="13"/>
      <c r="J10" s="13"/>
      <c r="K10" s="13"/>
      <c r="L10" s="13"/>
    </row>
    <row r="11" spans="1:12" x14ac:dyDescent="0.25">
      <c r="A11" s="130" t="s">
        <v>35</v>
      </c>
      <c r="B11" s="130"/>
      <c r="C11" s="5">
        <v>13246.02</v>
      </c>
      <c r="D11" s="13"/>
      <c r="E11" s="13"/>
      <c r="F11" s="5"/>
      <c r="G11" s="13"/>
      <c r="H11" s="13"/>
      <c r="I11" s="13"/>
      <c r="J11" s="13"/>
      <c r="K11" s="13"/>
      <c r="L11" s="13"/>
    </row>
    <row r="12" spans="1:12" x14ac:dyDescent="0.25">
      <c r="A12" s="131" t="s">
        <v>36</v>
      </c>
      <c r="B12" s="131"/>
      <c r="C12" s="5">
        <v>7293.18</v>
      </c>
      <c r="D12" s="13"/>
      <c r="E12" s="13"/>
      <c r="F12" s="5"/>
      <c r="G12" s="13"/>
      <c r="H12" s="13"/>
      <c r="I12" s="13"/>
      <c r="J12" s="13"/>
      <c r="K12" s="13"/>
      <c r="L12" s="13"/>
    </row>
    <row r="13" spans="1:12" x14ac:dyDescent="0.25">
      <c r="A13" s="130" t="s">
        <v>37</v>
      </c>
      <c r="B13" s="130"/>
      <c r="C13" s="5">
        <v>32000</v>
      </c>
      <c r="D13" s="13"/>
      <c r="E13" s="13"/>
      <c r="F13" s="13"/>
      <c r="G13" s="5"/>
      <c r="H13" s="13"/>
      <c r="I13" s="13"/>
      <c r="J13" s="13"/>
      <c r="K13" s="13"/>
      <c r="L13" s="13"/>
    </row>
    <row r="14" spans="1:12" x14ac:dyDescent="0.25">
      <c r="A14" s="130" t="s">
        <v>38</v>
      </c>
      <c r="B14" s="130"/>
      <c r="C14" s="5">
        <v>3600</v>
      </c>
      <c r="D14" s="13"/>
      <c r="E14" s="13"/>
      <c r="F14" s="13"/>
      <c r="G14" s="13"/>
      <c r="H14" s="13"/>
      <c r="I14" s="13"/>
      <c r="J14" s="13"/>
      <c r="K14" s="13"/>
      <c r="L14" s="13"/>
    </row>
    <row r="15" spans="1:12" x14ac:dyDescent="0.25">
      <c r="A15" s="131" t="s">
        <v>39</v>
      </c>
      <c r="B15" s="131"/>
      <c r="C15" s="5">
        <v>-21676.21</v>
      </c>
      <c r="D15" s="13"/>
      <c r="E15" s="13"/>
      <c r="F15" s="13"/>
      <c r="G15" s="13"/>
      <c r="H15" s="13"/>
      <c r="I15" s="13"/>
      <c r="J15" s="13"/>
      <c r="K15" s="13"/>
      <c r="L15" s="13"/>
    </row>
    <row r="16" spans="1:12" x14ac:dyDescent="0.25">
      <c r="A16" s="13"/>
      <c r="B16" s="130" t="s">
        <v>41</v>
      </c>
      <c r="C16" s="130"/>
      <c r="D16" s="5">
        <f>SUM(C8:C15)</f>
        <v>187333.44</v>
      </c>
      <c r="E16" s="13"/>
      <c r="F16" s="13"/>
      <c r="G16" s="13"/>
      <c r="H16" s="13"/>
      <c r="I16" s="13"/>
      <c r="J16" s="13"/>
      <c r="K16" s="13"/>
      <c r="L16" s="13"/>
    </row>
    <row r="17" spans="1:12" x14ac:dyDescent="0.25">
      <c r="A17" s="13"/>
      <c r="B17" s="130" t="s">
        <v>42</v>
      </c>
      <c r="C17" s="130"/>
      <c r="D17" s="5">
        <f>77*142</f>
        <v>10934</v>
      </c>
      <c r="E17" s="13"/>
      <c r="F17" s="13"/>
      <c r="G17" s="13"/>
      <c r="H17" s="13"/>
      <c r="I17" s="13"/>
      <c r="J17" s="13"/>
      <c r="K17" s="13"/>
      <c r="L17" s="13"/>
    </row>
    <row r="18" spans="1:12" x14ac:dyDescent="0.25">
      <c r="A18" s="13"/>
      <c r="B18" s="130" t="s">
        <v>43</v>
      </c>
      <c r="C18" s="130"/>
      <c r="D18" s="5">
        <v>566.33000000000004</v>
      </c>
      <c r="E18" s="13"/>
      <c r="F18" s="13"/>
      <c r="G18" s="13"/>
      <c r="H18" s="13"/>
      <c r="I18" s="13"/>
      <c r="J18" s="13"/>
      <c r="K18" s="13"/>
      <c r="L18" s="13"/>
    </row>
    <row r="19" spans="1:12" x14ac:dyDescent="0.25">
      <c r="A19" s="13"/>
      <c r="B19" s="130" t="s">
        <v>44</v>
      </c>
      <c r="C19" s="130"/>
      <c r="D19" s="5">
        <v>500</v>
      </c>
      <c r="E19" s="13"/>
      <c r="F19" s="13"/>
      <c r="G19" s="13"/>
      <c r="H19" s="13"/>
      <c r="I19" s="13"/>
      <c r="J19" s="13"/>
      <c r="K19" s="13"/>
      <c r="L19" s="13"/>
    </row>
    <row r="20" spans="1:12" x14ac:dyDescent="0.25">
      <c r="A20" s="13"/>
      <c r="B20" s="130" t="s">
        <v>45</v>
      </c>
      <c r="C20" s="130"/>
      <c r="D20" s="13"/>
      <c r="E20" s="13"/>
      <c r="F20" s="13"/>
      <c r="G20" s="13"/>
      <c r="H20" s="13"/>
      <c r="I20" s="13"/>
      <c r="J20" s="13"/>
      <c r="K20" s="13"/>
      <c r="L20" s="13"/>
    </row>
    <row r="21" spans="1:12" x14ac:dyDescent="0.25">
      <c r="A21" s="13"/>
      <c r="B21" s="130" t="s">
        <v>19</v>
      </c>
      <c r="C21" s="130"/>
      <c r="D21" s="5"/>
      <c r="E21" s="13"/>
      <c r="F21" s="13"/>
      <c r="G21" s="13"/>
      <c r="H21" s="13"/>
      <c r="I21" s="13"/>
      <c r="J21" s="13"/>
      <c r="L21" s="13"/>
    </row>
    <row r="22" spans="1:12" x14ac:dyDescent="0.25">
      <c r="A22" s="13"/>
      <c r="B22" s="131" t="s">
        <v>57</v>
      </c>
      <c r="C22" s="131"/>
      <c r="D22" s="5"/>
      <c r="E22" s="13"/>
      <c r="F22" s="13"/>
      <c r="G22" s="13"/>
      <c r="H22" s="13"/>
      <c r="J22" s="13"/>
      <c r="L22" s="13"/>
    </row>
    <row r="23" spans="1:12" x14ac:dyDescent="0.25">
      <c r="A23" s="13"/>
      <c r="B23" s="130" t="s">
        <v>52</v>
      </c>
      <c r="C23" s="130"/>
      <c r="D23" s="13"/>
      <c r="E23" s="13"/>
      <c r="F23" s="13"/>
      <c r="G23" s="13"/>
      <c r="H23" s="13"/>
      <c r="J23" s="13"/>
      <c r="K23" s="13"/>
      <c r="L23" s="13"/>
    </row>
    <row r="24" spans="1:12" x14ac:dyDescent="0.25">
      <c r="A24" s="13"/>
      <c r="B24" s="130" t="s">
        <v>53</v>
      </c>
      <c r="C24" s="130"/>
      <c r="D24" s="13"/>
      <c r="E24" s="13"/>
      <c r="F24" s="13"/>
      <c r="G24" s="13"/>
      <c r="H24" s="13"/>
      <c r="J24" s="13"/>
      <c r="K24" s="13"/>
      <c r="L24" s="13"/>
    </row>
    <row r="25" spans="1:12" x14ac:dyDescent="0.25">
      <c r="A25" s="13"/>
      <c r="B25" s="133" t="s">
        <v>20</v>
      </c>
      <c r="C25" s="133"/>
      <c r="D25" s="5">
        <f>SUM(D16:D24)</f>
        <v>199333.77</v>
      </c>
      <c r="E25" s="13"/>
      <c r="F25" s="13"/>
      <c r="G25" s="13"/>
      <c r="H25" s="13"/>
      <c r="J25" s="13"/>
      <c r="L25" s="13"/>
    </row>
    <row r="26" spans="1:12" x14ac:dyDescent="0.25">
      <c r="A26" s="13"/>
      <c r="B26" s="13"/>
      <c r="C26" s="13"/>
      <c r="D26" s="13"/>
      <c r="E26" s="13"/>
      <c r="F26" s="13"/>
      <c r="G26" s="13"/>
      <c r="H26" s="13"/>
      <c r="J26" s="13"/>
      <c r="K26" s="13"/>
      <c r="L26" s="13"/>
    </row>
    <row r="27" spans="1:12" ht="21" x14ac:dyDescent="0.35">
      <c r="A27" s="126" t="s">
        <v>50</v>
      </c>
      <c r="B27" s="126"/>
      <c r="C27" s="12" t="s">
        <v>16</v>
      </c>
      <c r="D27" s="12" t="s">
        <v>17</v>
      </c>
      <c r="E27" s="12" t="s">
        <v>18</v>
      </c>
      <c r="F27" s="12" t="s">
        <v>19</v>
      </c>
      <c r="G27" s="13"/>
      <c r="H27" s="13"/>
      <c r="J27" s="13"/>
      <c r="K27" s="13"/>
      <c r="L27" s="5"/>
    </row>
    <row r="28" spans="1:12" x14ac:dyDescent="0.25">
      <c r="B28" t="s">
        <v>32</v>
      </c>
      <c r="C28" s="4">
        <f>D16-SUM(C13:C14)</f>
        <v>151733.44</v>
      </c>
      <c r="D28" s="4">
        <v>0</v>
      </c>
      <c r="E28">
        <v>25</v>
      </c>
      <c r="F28" s="4">
        <f>(C28-D28)/E28</f>
        <v>6069.3375999999998</v>
      </c>
      <c r="G28" s="13"/>
      <c r="H28" s="13"/>
      <c r="I28" s="13"/>
      <c r="J28" s="13"/>
      <c r="K28" s="13"/>
      <c r="L28" s="13"/>
    </row>
    <row r="29" spans="1:12" x14ac:dyDescent="0.25">
      <c r="B29" t="s">
        <v>51</v>
      </c>
      <c r="G29" s="13"/>
      <c r="H29" s="13"/>
      <c r="I29" s="13"/>
      <c r="J29" s="13"/>
      <c r="K29" s="13"/>
      <c r="L29" s="13"/>
    </row>
    <row r="30" spans="1:12" x14ac:dyDescent="0.25">
      <c r="A30" s="13"/>
      <c r="G30" s="13"/>
      <c r="H30" s="13"/>
      <c r="I30" s="13"/>
      <c r="J30" s="13"/>
      <c r="K30" s="13"/>
      <c r="L30" s="13"/>
    </row>
    <row r="31" spans="1:12" x14ac:dyDescent="0.25">
      <c r="A31" s="13"/>
      <c r="G31" s="13"/>
      <c r="H31" s="13"/>
      <c r="I31" s="13"/>
      <c r="J31" s="13"/>
      <c r="K31" s="13"/>
      <c r="L31" s="13"/>
    </row>
    <row r="32" spans="1:12" x14ac:dyDescent="0.25">
      <c r="A32" s="13"/>
      <c r="B32" s="13"/>
      <c r="C32" s="13"/>
      <c r="D32" s="13"/>
      <c r="E32" s="13"/>
      <c r="F32" s="13"/>
      <c r="G32" s="13"/>
      <c r="H32" s="13"/>
      <c r="I32" s="13"/>
      <c r="J32" s="13"/>
      <c r="K32" s="13"/>
      <c r="L32" s="13"/>
    </row>
    <row r="33" spans="1:12" x14ac:dyDescent="0.25">
      <c r="A33" s="13"/>
      <c r="B33" s="13"/>
      <c r="C33" s="13"/>
      <c r="D33" s="13"/>
      <c r="E33" s="13"/>
      <c r="F33" s="13"/>
      <c r="G33" s="13"/>
      <c r="H33" s="13"/>
      <c r="I33" s="13"/>
      <c r="J33" s="13"/>
      <c r="K33" s="13"/>
      <c r="L33" s="13"/>
    </row>
    <row r="34" spans="1:12" x14ac:dyDescent="0.25">
      <c r="A34" s="13"/>
      <c r="B34" s="13"/>
      <c r="C34" s="13"/>
      <c r="D34" s="13"/>
      <c r="E34" s="13"/>
      <c r="F34" s="13"/>
      <c r="G34" s="13"/>
      <c r="H34" s="13"/>
      <c r="I34" s="13"/>
      <c r="J34" s="13"/>
      <c r="K34" s="13"/>
      <c r="L34" s="13"/>
    </row>
    <row r="35" spans="1:12" x14ac:dyDescent="0.25">
      <c r="A35" s="13"/>
      <c r="B35" s="13"/>
      <c r="C35" s="13"/>
      <c r="D35" s="13"/>
      <c r="E35" s="13"/>
      <c r="F35" s="13"/>
      <c r="G35" s="13"/>
      <c r="H35" s="13"/>
      <c r="I35" s="13"/>
      <c r="J35" s="13"/>
      <c r="K35" s="13"/>
      <c r="L35" s="13"/>
    </row>
    <row r="36" spans="1:12" x14ac:dyDescent="0.25">
      <c r="L36" s="2"/>
    </row>
    <row r="37" spans="1:12" x14ac:dyDescent="0.25">
      <c r="H37" s="2"/>
    </row>
  </sheetData>
  <mergeCells count="25">
    <mergeCell ref="A27:B27"/>
    <mergeCell ref="B21:C21"/>
    <mergeCell ref="B22:C22"/>
    <mergeCell ref="B23:C23"/>
    <mergeCell ref="A12:B12"/>
    <mergeCell ref="A15:B15"/>
    <mergeCell ref="B20:C20"/>
    <mergeCell ref="A13:B13"/>
    <mergeCell ref="B16:C16"/>
    <mergeCell ref="B17:C17"/>
    <mergeCell ref="B19:C19"/>
    <mergeCell ref="A14:B14"/>
    <mergeCell ref="B24:C24"/>
    <mergeCell ref="B25:C25"/>
    <mergeCell ref="B18:C18"/>
    <mergeCell ref="A1:B1"/>
    <mergeCell ref="A7:B7"/>
    <mergeCell ref="A8:B8"/>
    <mergeCell ref="A9:B9"/>
    <mergeCell ref="A10:B10"/>
    <mergeCell ref="A11:B11"/>
    <mergeCell ref="A4:B4"/>
    <mergeCell ref="A5:B5"/>
    <mergeCell ref="A2:B2"/>
    <mergeCell ref="A3:B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BE3803D36BFDE4482763AF8B950B122" ma:contentTypeVersion="9" ma:contentTypeDescription="Create a new document." ma:contentTypeScope="" ma:versionID="91a9767189a6bd467f2b4d365a23ba72">
  <xsd:schema xmlns:xsd="http://www.w3.org/2001/XMLSchema" xmlns:xs="http://www.w3.org/2001/XMLSchema" xmlns:p="http://schemas.microsoft.com/office/2006/metadata/properties" xmlns:ns2="8d208e6d-cdb2-4f4d-87a6-5a426896d8ca" targetNamespace="http://schemas.microsoft.com/office/2006/metadata/properties" ma:root="true" ma:fieldsID="b02343897caad8eb301c2ea9e51db2d8" ns2:_="">
    <xsd:import namespace="8d208e6d-cdb2-4f4d-87a6-5a426896d8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208e6d-cdb2-4f4d-87a6-5a426896d8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70E496-4846-4CC4-AC01-2F5C5943E05B}">
  <ds:schemaRefs>
    <ds:schemaRef ds:uri="http://schemas.microsoft.com/office/infopath/2007/PartnerControls"/>
    <ds:schemaRef ds:uri="http://schemas.openxmlformats.org/package/2006/metadata/core-properties"/>
    <ds:schemaRef ds:uri="http://schemas.microsoft.com/office/2006/metadata/properties"/>
    <ds:schemaRef ds:uri="8d208e6d-cdb2-4f4d-87a6-5a426896d8ca"/>
    <ds:schemaRef ds:uri="http://purl.org/dc/elements/1.1/"/>
    <ds:schemaRef ds:uri="http://purl.org/dc/term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7DCA8CBE-0A24-4AFF-B22B-3F926587C0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208e6d-cdb2-4f4d-87a6-5a426896d8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0C266B-9567-4206-9FAF-ABF8E90035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Bag</vt:lpstr>
      <vt:lpstr>Bin</vt:lpstr>
      <vt:lpstr>Size</vt:lpstr>
      <vt:lpstr>10000 bu bin</vt:lpstr>
      <vt:lpstr>20000 bu bin</vt:lpstr>
      <vt:lpstr>40000 bu bin</vt:lpstr>
      <vt:lpstr>60000 bu bin</vt:lpstr>
      <vt:lpstr>80000 bu bin</vt:lpstr>
      <vt:lpstr>Bin Costs</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Duncan, Hence</dc:creator>
  <cp:keywords/>
  <dc:description/>
  <cp:lastModifiedBy>Smith, Aaron</cp:lastModifiedBy>
  <cp:revision/>
  <cp:lastPrinted>2022-01-24T17:31:05Z</cp:lastPrinted>
  <dcterms:created xsi:type="dcterms:W3CDTF">2021-05-21T19:34:08Z</dcterms:created>
  <dcterms:modified xsi:type="dcterms:W3CDTF">2022-01-24T21:55:55Z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0x0101005BE3803D36BFDE4482763AF8B950B122</vt:lpwstr>
  </property>
</Properties>
</file>