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hidePivotFieldList="1" defaultThemeVersion="124226"/>
  <mc:AlternateContent xmlns:mc="http://schemas.openxmlformats.org/markup-compatibility/2006">
    <mc:Choice Requires="x15">
      <x15ac:absPath xmlns:x15ac="http://schemas.microsoft.com/office/spreadsheetml/2010/11/ac" url="https://liveutk.sharepoint.com/sites/OilSeedAnalysis/Shared Documents/General/Stochastic Budgeting Manuscript/"/>
    </mc:Choice>
  </mc:AlternateContent>
  <xr:revisionPtr revIDLastSave="13" documentId="13_ncr:1_{79C0C834-A949-4B5C-99AA-0473CE931798}" xr6:coauthVersionLast="47" xr6:coauthVersionMax="47" xr10:uidLastSave="{B2688D87-87A5-49BB-93BB-703CDF4C298B}"/>
  <bookViews>
    <workbookView xWindow="38280" yWindow="-120" windowWidth="38640" windowHeight="21240" tabRatio="855" xr2:uid="{00000000-000D-0000-FFFF-FFFF00000000}"/>
  </bookViews>
  <sheets>
    <sheet name="Read_Me" sheetId="115" r:id="rId1"/>
    <sheet name="Budget Summary" sheetId="66" r:id="rId2"/>
    <sheet name="RiskSerializationData" sheetId="88" state="hidden" r:id="rId3"/>
    <sheet name="Sensitivity" sheetId="86" r:id="rId4"/>
    <sheet name="Establishment" sheetId="67" r:id="rId5"/>
    <sheet name="Management" sheetId="68" r:id="rId6"/>
    <sheet name="Harvest &amp; Transportation" sheetId="69" r:id="rId7"/>
    <sheet name="Assumptions" sheetId="37" r:id="rId8"/>
    <sheet name="National Analysis" sheetId="114" r:id="rId9"/>
    <sheet name="Farm Machinery Cost Calculation" sheetId="23" r:id="rId10"/>
    <sheet name="Farm Machinery" sheetId="38" r:id="rId11"/>
  </sheets>
  <externalReferences>
    <externalReference r:id="rId12"/>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39167</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39167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dmin_marketing">Assumptions!#REF!</definedName>
    <definedName name="aerial_seed_rent">Assumptions!$C$5</definedName>
    <definedName name="ASABE_Standards_2009">'Farm Machinery'!$AB$12</definedName>
    <definedName name="Average_Machine_Age">Assumptions!$C$9</definedName>
    <definedName name="BE_PC_Price">Assumptions!$C$7</definedName>
    <definedName name="bioler">Assumptions!#REF!</definedName>
    <definedName name="communications">Assumptions!#REF!</definedName>
    <definedName name="consulting_employee_related">Assumptions!#REF!</definedName>
    <definedName name="consulting_manpower">Assumptions!#REF!</definedName>
    <definedName name="consulting_other">Assumptions!#REF!</definedName>
    <definedName name="cooling_tower">Assumptions!#REF!</definedName>
    <definedName name="crush_plant">Assumptions!#REF!</definedName>
    <definedName name="crushing_capacity">Assumptions!#REF!</definedName>
    <definedName name="depr_boiler">Assumptions!#REF!</definedName>
    <definedName name="depr_cooling_tower">Assumptions!#REF!</definedName>
    <definedName name="depr_crush_plant">Assumptions!#REF!</definedName>
    <definedName name="depr_metal_tanks">Assumptions!#REF!</definedName>
    <definedName name="depr_packaging">Assumptions!#REF!</definedName>
    <definedName name="depr_structures">Assumptions!#REF!</definedName>
    <definedName name="disc_rate">Assumptions!$C$57</definedName>
    <definedName name="Disk_HPA">[1]Assumptions!$C$17</definedName>
    <definedName name="engineering_management">Assumptions!#REF!</definedName>
    <definedName name="facility_demand">Assumptions!#REF!</definedName>
    <definedName name="farm_labor_cost">Assumptions!$C$3</definedName>
    <definedName name="fertilizer_tractor">Assumptions!$C$18</definedName>
    <definedName name="fertilizer_tractor_HPA">[2]Assumptions!$C$18</definedName>
    <definedName name="FF1_Machine1">'Farm Machinery'!$AD$2</definedName>
    <definedName name="FF1_Machine10">'Farm Machinery'!$AD$11</definedName>
    <definedName name="FF1_Machine11">'Farm Machinery'!$AD$12</definedName>
    <definedName name="FF1_Machine13">'Farm Machinery'!$AD$14</definedName>
    <definedName name="FF1_Machine2">'Farm Machinery'!$AD$3</definedName>
    <definedName name="FF1_Machine3">'Farm Machinery'!$AD$4</definedName>
    <definedName name="FF1_Machine4">'Farm Machinery'!$AD$5</definedName>
    <definedName name="FF1_Machine5">'Farm Machinery'!$AD$6</definedName>
    <definedName name="FF1_Machine6">'Farm Machinery'!$AD$7</definedName>
    <definedName name="FF1_Machine7">'Farm Machinery'!$AD$8</definedName>
    <definedName name="FF1_Machine8">'Farm Machinery'!$AD$9</definedName>
    <definedName name="FF1_Machine9">'Farm Machinery'!$AD$10</definedName>
    <definedName name="FF2_Machine1">'Farm Machinery'!$AF$2</definedName>
    <definedName name="FF2_Machine10">'Farm Machinery'!$AF$11</definedName>
    <definedName name="FF2_Machine11">'Farm Machinery'!$AF$12</definedName>
    <definedName name="FF2_Machine13">'Farm Machinery'!$AF$14</definedName>
    <definedName name="FF2_Machine2">'Farm Machinery'!$AF$3</definedName>
    <definedName name="FF2_Machine3">'Farm Machinery'!$AF$4</definedName>
    <definedName name="FF2_Machine4">'Farm Machinery'!$AF$5</definedName>
    <definedName name="FF2_Machine5">'Farm Machinery'!$AF$6</definedName>
    <definedName name="FF2_Machine6">'Farm Machinery'!$AF$7</definedName>
    <definedName name="FF2_Machine7">'Farm Machinery'!$AF$8</definedName>
    <definedName name="FF2_Machine8">'Farm Machinery'!$AF$9</definedName>
    <definedName name="FF2_Machine9">'Farm Machinery'!$AF$10</definedName>
    <definedName name="fuel_gal">Assumptions!$C$53</definedName>
    <definedName name="fungicide_spray">Assumptions!$C$21</definedName>
    <definedName name="harvest_combine">Assumptions!$C$23</definedName>
    <definedName name="harvest_mow">Assumptions!$C$23</definedName>
    <definedName name="haul_grain_cart">Assumptions!$C$24</definedName>
    <definedName name="herbicide_spray">Assumptions!$C$20</definedName>
    <definedName name="housing">Assumptions!$C$58</definedName>
    <definedName name="HUL_Machine1">'Farm Machinery'!$G$2</definedName>
    <definedName name="HUL_Machine10">'Farm Machinery'!$G$11</definedName>
    <definedName name="HUL_Machine11">'Farm Machinery'!$G$12</definedName>
    <definedName name="HUL_Machine12">'Farm Machinery'!$G$13</definedName>
    <definedName name="HUL_Machine13">'Farm Machinery'!$G$14</definedName>
    <definedName name="HUL_Machine14">'Farm Machinery'!$G$15</definedName>
    <definedName name="HUL_Machine15">'Farm Machinery'!$G$16</definedName>
    <definedName name="HUL_Machine16">'Farm Machinery'!$G$17</definedName>
    <definedName name="HUL_Machine17">'Farm Machinery'!$G$18</definedName>
    <definedName name="HUL_Machine2">'Farm Machinery'!$G$3</definedName>
    <definedName name="HUL_Machine3">'Farm Machinery'!$G$4</definedName>
    <definedName name="HUL_Machine4">'Farm Machinery'!$G$5</definedName>
    <definedName name="HUL_Machine5">'Farm Machinery'!$G$6</definedName>
    <definedName name="HUL_Machine6">'Farm Machinery'!$G$7</definedName>
    <definedName name="HUL_Machine7">'Farm Machinery'!$G$8</definedName>
    <definedName name="HUL_Machine8">'Farm Machinery'!$G$9</definedName>
    <definedName name="HUL_Machine9">'Farm Machinery'!$G$10</definedName>
    <definedName name="HUY_Machine1">'Farm Machinery'!$N$2</definedName>
    <definedName name="HUY_Machine10">'Farm Machinery'!$N$11</definedName>
    <definedName name="HUY_Machine11">'Farm Machinery'!$N$12</definedName>
    <definedName name="HUY_Machine12">'Farm Machinery'!$N$13</definedName>
    <definedName name="HUY_Machine13">'Farm Machinery'!$N$14</definedName>
    <definedName name="HUY_Machine134">'Farm Machinery Cost Calculation'!$AX$5</definedName>
    <definedName name="HUY_Machine14">'Farm Machinery'!$N$15</definedName>
    <definedName name="HUY_Machine15">'Farm Machinery'!$N$16</definedName>
    <definedName name="HUY_Machine16">'Farm Machinery'!$N$17</definedName>
    <definedName name="HUY_Machine17">'Farm Machinery'!$N$18</definedName>
    <definedName name="HUY_Machine2">'Farm Machinery'!$N$3</definedName>
    <definedName name="HUY_Machine3">'Farm Machinery'!$N$4</definedName>
    <definedName name="HUY_Machine4">'Farm Machinery'!$N$5</definedName>
    <definedName name="HUY_Machine5">'Farm Machinery'!$N$6</definedName>
    <definedName name="HUY_Machine6">'Farm Machinery'!$N$7</definedName>
    <definedName name="HUY_Machine7">'Farm Machinery'!$N$8</definedName>
    <definedName name="HUY_Machine8">'Farm Machinery'!$N$9</definedName>
    <definedName name="HUY_Machine9">'Farm Machinery'!$N$10</definedName>
    <definedName name="insecticide_spray">Assumptions!$C$22</definedName>
    <definedName name="insurance">Assumptions!$C$60</definedName>
    <definedName name="interest_on_ops">Assumptions!#REF!</definedName>
    <definedName name="labor_factor_machine">Assumptions!$C$13</definedName>
    <definedName name="lb_tons">Assumptions!$C$61</definedName>
    <definedName name="LFCTO">[3]Assumptions!$C$5</definedName>
    <definedName name="Lub_Factor">Assumptions!$C$10</definedName>
    <definedName name="Machine14_Acre_Hour">'Farm Machinery'!$L$15</definedName>
    <definedName name="maintenance">Assumptions!#REF!</definedName>
    <definedName name="management">Assumptions!#REF!</definedName>
    <definedName name="metal_tanks">Assumptions!#REF!</definedName>
    <definedName name="NA">'Farm Machinery'!$AF$8</definedName>
    <definedName name="nom_interest">Assumptions!$C$54</definedName>
    <definedName name="OLE_LINK1" localSheetId="3">Sensitivity!$A$37</definedName>
    <definedName name="operating_transport">Assumptions!#REF!</definedName>
    <definedName name="p_boron">Assumptions!$C$47</definedName>
    <definedName name="p_broadleaf_herbicide">Assumptions!$C$51</definedName>
    <definedName name="p_fall_glyphosate">Assumptions!$C$50</definedName>
    <definedName name="p_fungicide">Assumptions!$C$50</definedName>
    <definedName name="p_insecticide">Assumptions!$C$49</definedName>
    <definedName name="p_K2O">Assumptions!$C$43</definedName>
    <definedName name="p_lime">Assumptions!$C$46</definedName>
    <definedName name="p_N">Assumptions!$C$45</definedName>
    <definedName name="p_oil">Assumptions!#REF!</definedName>
    <definedName name="p_P2O5">Assumptions!$C$42</definedName>
    <definedName name="p_preharvest_herbicide">Assumptions!$C$52</definedName>
    <definedName name="p_seed">Assumptions!$C$41</definedName>
    <definedName name="p_spring_glyphosate">Assumptions!$C$49</definedName>
    <definedName name="p_sulfur">Assumptions!$C$48</definedName>
    <definedName name="p_UAN">Assumptions!$C$44</definedName>
    <definedName name="packaging">Assumptions!#REF!</definedName>
    <definedName name="Pal_Workbook_GUID" hidden="1">"W6B4BPPPQG4JUECQQ3RBFJ3X"</definedName>
    <definedName name="pasture_rent">Assumptions!$C$5</definedName>
    <definedName name="pennycress_oil_content">Assumptions!$C$62</definedName>
    <definedName name="pennycress_pounds_bushel">Assumptions!$C$27</definedName>
    <definedName name="pennycress_price">Assumptions!$C$6</definedName>
    <definedName name="pennycress_yield">Assumptions!$C$8</definedName>
    <definedName name="plant_notill_drill">Assumptions!$C$17</definedName>
    <definedName name="PLF_MachinePrice">[3]Assumptions!$C$19</definedName>
    <definedName name="postemerge_spray60">Assumptions!$C$19</definedName>
    <definedName name="PP_Machine1">'Farm Machinery'!$D$2</definedName>
    <definedName name="PP_Machine10">'Farm Machinery'!$D$11</definedName>
    <definedName name="PP_Machine11">'Farm Machinery'!$D$12</definedName>
    <definedName name="PP_Machine12">'Farm Machinery'!$D$13</definedName>
    <definedName name="PP_Machine13">'Farm Machinery'!$D$14</definedName>
    <definedName name="PP_Machine14">'Farm Machinery'!$D$15</definedName>
    <definedName name="PP_Machine15">'Farm Machinery'!$D$16</definedName>
    <definedName name="PP_Machine16">'Farm Machinery'!$D$17</definedName>
    <definedName name="PP_Machine17">'Farm Machinery'!$D$18</definedName>
    <definedName name="PP_Machine2">'Farm Machinery'!$D$3</definedName>
    <definedName name="PP_Machine3">'Farm Machinery'!$D$4</definedName>
    <definedName name="PP_Machine4">'Farm Machinery'!$D$5</definedName>
    <definedName name="PP_Machine5">'Farm Machinery'!$D$6</definedName>
    <definedName name="PP_Machine6">'Farm Machinery'!$D$7</definedName>
    <definedName name="PP_Machine7">'Farm Machinery'!$D$8</definedName>
    <definedName name="PP_Machine8">'Farm Machinery'!$D$9</definedName>
    <definedName name="PP_Machine9">'Farm Machinery'!$D$10</definedName>
    <definedName name="processing_materials">Assumptions!#REF!</definedName>
    <definedName name="professional_services">Assumptions!#REF!</definedName>
    <definedName name="protections_safety">Assumptions!#REF!</definedName>
    <definedName name="PTO_Machine1">'Farm Machinery'!$AB$2</definedName>
    <definedName name="PTO_Machine10">'Farm Machinery'!$AB$11</definedName>
    <definedName name="PTO_Machine11">'Farm Machinery'!$AB$12</definedName>
    <definedName name="PTO_Machine13">'Farm Machinery'!$AB$14</definedName>
    <definedName name="PTO_Machine2">'Farm Machinery'!$AB$3</definedName>
    <definedName name="PTO_Machine3">'Farm Machinery'!$AB$4</definedName>
    <definedName name="PTO_Machine4">'Farm Machinery'!$AB$5</definedName>
    <definedName name="PTO_Machine5">'Farm Machinery'!$AB$6</definedName>
    <definedName name="PTO_Machine6">'Farm Machinery'!$AB$7</definedName>
    <definedName name="PTO_Machine7">'Farm Machinery'!$AB$8</definedName>
    <definedName name="PTO_Machine8">'Farm Machinery'!$AB$9</definedName>
    <definedName name="PTO_Machine9">'Farm Machinery'!$AB$10</definedName>
    <definedName name="purchase_list_factor">Assumptions!$C$11</definedName>
    <definedName name="q_boron">Assumptions!$C$35</definedName>
    <definedName name="q_broadleaf_herbicide">Assumptions!$C$39</definedName>
    <definedName name="q_fall_glyphosate">Assumptions!$C$38</definedName>
    <definedName name="q_fungicide">Assumptions!$C$38</definedName>
    <definedName name="q_insecticide">Assumptions!$C$37</definedName>
    <definedName name="q_K2O">Assumptions!$C$32</definedName>
    <definedName name="q_lime">Assumptions!$C$34</definedName>
    <definedName name="q_N">Assumptions!$C$33</definedName>
    <definedName name="q_P2O5">Assumptions!$C$31</definedName>
    <definedName name="q_preharvest_herbicide">Assumptions!$C$40</definedName>
    <definedName name="q_seed">Assumptions!$C$30</definedName>
    <definedName name="q_spring_glyphosate">Assumptions!$C$37</definedName>
    <definedName name="q_sulfur">Assumptions!$C$36</definedName>
    <definedName name="real_interest">Assumptions!$C$56</definedName>
    <definedName name="RF1_Machine1">'Farm Machinery'!$V$2</definedName>
    <definedName name="RF1_Machine10">'Farm Machinery'!$V$11</definedName>
    <definedName name="RF1_Machine11">'Farm Machinery'!$V$12</definedName>
    <definedName name="RF1_Machine13">'Farm Machinery'!$V$14</definedName>
    <definedName name="RF1_Machine14">'Farm Machinery'!$V$15</definedName>
    <definedName name="RF1_Machine15">'Farm Machinery'!$V$16</definedName>
    <definedName name="RF1_Machine16">'Farm Machinery'!$V$17</definedName>
    <definedName name="RF1_Machine17">'Farm Machinery'!$V$18</definedName>
    <definedName name="RF1_Machine2">'Farm Machinery'!$V$3</definedName>
    <definedName name="RF1_Machine3">'Farm Machinery'!$V$4</definedName>
    <definedName name="RF1_Machine4">'Farm Machinery'!$V$5</definedName>
    <definedName name="RF1_Machine5">'Farm Machinery'!$V$6</definedName>
    <definedName name="RF1_Machine6">'Farm Machinery'!$V$7</definedName>
    <definedName name="RF1_Machine7">'Farm Machinery'!$V$8</definedName>
    <definedName name="RF1_Machine8">'Farm Machinery'!$V$9</definedName>
    <definedName name="RF1_Machine9">'Farm Machinery'!$V$10</definedName>
    <definedName name="RF2_Machine1">'Farm Machinery'!$X$2</definedName>
    <definedName name="RF2_Machine10">'Farm Machinery'!$X$11</definedName>
    <definedName name="RF2_Machine11">'Farm Machinery'!$X$12</definedName>
    <definedName name="RF2_Machine13">'Farm Machinery'!$X$14</definedName>
    <definedName name="RF2_Machine14">'Farm Machinery'!$X$15</definedName>
    <definedName name="RF2_Machine15">'Farm Machinery'!$X$16</definedName>
    <definedName name="RF2_Machine16">'Farm Machinery'!$X$17</definedName>
    <definedName name="RF2_Machine17">'Farm Machinery'!$X$18</definedName>
    <definedName name="RF2_Machine2">'Farm Machinery'!$X$3</definedName>
    <definedName name="RF2_Machine3">'Farm Machinery'!$X$4</definedName>
    <definedName name="RF2_Machine4">'Farm Machinery'!$X$5</definedName>
    <definedName name="RF2_Machine5">'Farm Machinery'!$X$6</definedName>
    <definedName name="RF2_Machine6">'Farm Machinery'!$X$7</definedName>
    <definedName name="RF2_Machine7">'Farm Machinery'!$X$8</definedName>
    <definedName name="RF2_Machine8">'Farm Machinery'!$X$9</definedName>
    <definedName name="RF2_Machine9">'Farm Machinery'!$X$10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"$D$8"</definedName>
    <definedName name="RiskSelectedNameCell1" hidden="1">"$C$8"</definedName>
    <definedName name="RiskSelectedNameCell2" hidden="1">"$D$7"</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MF_Machine1">'Farm Machinery'!$Z$2</definedName>
    <definedName name="RMF_Machine10">'Farm Machinery'!$Z$11</definedName>
    <definedName name="RMF_Machine11">'Farm Machinery'!$Z$12</definedName>
    <definedName name="RMF_Machine13">'Farm Machinery'!$Z$14</definedName>
    <definedName name="RMF_Machine14">'Farm Machinery'!$Z$15</definedName>
    <definedName name="RMF_Machine15">'Farm Machinery'!$Z$16</definedName>
    <definedName name="RMF_Machine16">'Farm Machinery'!$Z$17</definedName>
    <definedName name="RMF_Machine17">'Farm Machinery'!$Z$18</definedName>
    <definedName name="RMF_Machine2">'Farm Machinery'!$Z$3</definedName>
    <definedName name="RMF_Machine3">'Farm Machinery'!$Z$4</definedName>
    <definedName name="RMF_Machine4">'Farm Machinery'!$Z$5</definedName>
    <definedName name="RMF_Machine5">'Farm Machinery'!$Z$6</definedName>
    <definedName name="RMF_Machine6">'Farm Machinery'!$Z$7</definedName>
    <definedName name="RMF_Machine7">'Farm Machinery'!$Z$8</definedName>
    <definedName name="RMF_Machine8">'Farm Machinery'!$Z$9</definedName>
    <definedName name="RMF_Machine9">'Farm Machinery'!$Z$10</definedName>
    <definedName name="rotary_mow_HPA">Assumptions!$C$15</definedName>
    <definedName name="salvage_factor_gravelpad">Assumptions!$C$12</definedName>
    <definedName name="semi_tractor_capacity">Assumptions!$C$26</definedName>
    <definedName name="soybean_oil_content">Assumptions!#REF!</definedName>
    <definedName name="Soybean_price">Assumptions!$C$63</definedName>
    <definedName name="Soybean_yield_loss">Assumptions!$C$64</definedName>
    <definedName name="spray_90_HPA">Assumptions!$C$16</definedName>
    <definedName name="spring_spray60">Assumptions!$C$16</definedName>
    <definedName name="structures">Assumptions!#REF!</definedName>
    <definedName name="SVF1_Machine1">'Farm Machinery'!$P$2</definedName>
    <definedName name="SVF1_Machine10">'Farm Machinery'!$P$11</definedName>
    <definedName name="SVF1_Machine11">'Farm Machinery'!$P$12</definedName>
    <definedName name="SVF1_Machine13">'Farm Machinery'!$P$14</definedName>
    <definedName name="SVF1_Machine14">'Farm Machinery'!$P$15</definedName>
    <definedName name="SVF1_Machine15">'Farm Machinery'!$P$16</definedName>
    <definedName name="SVF1_Machine16">'Farm Machinery'!$P$17</definedName>
    <definedName name="SVF1_Machine17">'Farm Machinery'!$P$18</definedName>
    <definedName name="SVF1_Machine2">'Farm Machinery'!$P$3</definedName>
    <definedName name="SVF1_Machine3">'Farm Machinery'!$P$4</definedName>
    <definedName name="SVF1_Machine4">'Farm Machinery'!$P$5</definedName>
    <definedName name="SVF1_Machine5">'Farm Machinery'!$P$6</definedName>
    <definedName name="SVF1_Machine6">'Farm Machinery'!$P$7</definedName>
    <definedName name="SVF1_Machine7">'Farm Machinery'!$P$8</definedName>
    <definedName name="SVF1_Machine8">'Farm Machinery'!$P$9</definedName>
    <definedName name="SVF1_Machine9">'Farm Machinery'!$P$10</definedName>
    <definedName name="SVF2_Machine1">'Farm Machinery'!$R$2</definedName>
    <definedName name="SVF2_Machine10">'Farm Machinery'!$R$11</definedName>
    <definedName name="SVF2_Machine11">'Farm Machinery'!$R$12</definedName>
    <definedName name="SVF2_Machine13">'Farm Machinery'!$R$14</definedName>
    <definedName name="SVF2_Machine14">'Farm Machinery'!$R$15</definedName>
    <definedName name="SVF2_Machine15">'Farm Machinery'!$R$16</definedName>
    <definedName name="SVF2_Machine16">'Farm Machinery'!$R$17</definedName>
    <definedName name="SVF2_Machine17">'Farm Machinery'!$R$18</definedName>
    <definedName name="SVF2_Machine2">'Farm Machinery'!$R$3</definedName>
    <definedName name="SVF2_Machine3">'Farm Machinery'!$R$4</definedName>
    <definedName name="SVF2_Machine4">'Farm Machinery'!$R$5</definedName>
    <definedName name="SVF2_Machine5">'Farm Machinery'!$R$6</definedName>
    <definedName name="SVF2_Machine6">'Farm Machinery'!$R$7</definedName>
    <definedName name="SVF2_Machine7">'Farm Machinery'!$R$8</definedName>
    <definedName name="SVF2_Machine8">'Farm Machinery'!$R$9</definedName>
    <definedName name="SVF2_Machine9">'Farm Machinery'!$R$10</definedName>
    <definedName name="SVF3_Machine1">'Farm Machinery'!$T$2</definedName>
    <definedName name="SVF3_Machine10">'Farm Machinery'!$T$11</definedName>
    <definedName name="SVF3_Machine11">'Farm Machinery'!$T$12</definedName>
    <definedName name="SVF3_Machine13">'Farm Machinery'!$T$14</definedName>
    <definedName name="SVF3_Machine14">'Farm Machinery'!$T$15</definedName>
    <definedName name="SVF3_Machine15">'Farm Machinery'!$T$16</definedName>
    <definedName name="SVF3_Machine16">'Farm Machinery'!$T$17</definedName>
    <definedName name="SVF3_Machine17">'Farm Machinery'!$T$18</definedName>
    <definedName name="SVF3_Machine2">'Farm Machinery'!$T$3</definedName>
    <definedName name="SVF3_Machine3">'Farm Machinery'!$T$4</definedName>
    <definedName name="SVF3_Machine4">'Farm Machinery'!$T$5</definedName>
    <definedName name="SVF3_Machine5">'Farm Machinery'!$T$6</definedName>
    <definedName name="SVF3_Machine6">'Farm Machinery'!$T$7</definedName>
    <definedName name="SVF3_Machine7">'Farm Machinery'!$T$8</definedName>
    <definedName name="SVF3_Machine8">'Farm Machinery'!$T$9</definedName>
    <definedName name="SVF3_Machine9">'Farm Machinery'!$T$10</definedName>
    <definedName name="tax_rate">Assumptions!$C$59</definedName>
    <definedName name="taxes_ins">Assumptions!#REF!</definedName>
    <definedName name="TN_Motor_Fuel_Tax">Assumptions!$C$65</definedName>
    <definedName name="total_energy">Assumptions!#REF!</definedName>
    <definedName name="total_sewer_water">Assumptions!#REF!</definedName>
    <definedName name="transport_seeds">Assumptions!#REF!</definedName>
    <definedName name="transport_semitractor">Assumptions!$C$25</definedName>
    <definedName name="truck_labor_cost">Assumptions!$C$4</definedName>
    <definedName name="water_treatment">Assumptions!#REF!</definedName>
    <definedName name="YUL_Machine1">'Farm Machinery Cost Calculation'!$H$5</definedName>
    <definedName name="YUL_Machine11">'Farm Machinery Cost Calculation'!$AL$5</definedName>
    <definedName name="YUL_Machine13">'Farm Machinery Cost Calculation'!$AR$5</definedName>
    <definedName name="YUL_Machine14">'Farm Machinery Cost Calculation'!$AU$5</definedName>
    <definedName name="YUL_Machine15">'Farm Machinery Cost Calculation'!$AX$5</definedName>
    <definedName name="YUL_Machine16">'Farm Machinery Cost Calculation'!$BA$5</definedName>
    <definedName name="YUL_Machine17">'Farm Machinery Cost Calculation'!$BD$5</definedName>
    <definedName name="YUL_Machine3">'Farm Machinery Cost Calculation'!$N$5</definedName>
    <definedName name="YUL_Machine4">'Farm Machinery Cost Calculation'!$Q$5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86" l="1"/>
  <c r="C18" i="37"/>
  <c r="D5" i="68"/>
  <c r="F4" i="66"/>
  <c r="D20" i="67"/>
  <c r="D5" i="67"/>
  <c r="C19" i="67"/>
  <c r="H10" i="114"/>
  <c r="I10" i="114"/>
  <c r="J10" i="114"/>
  <c r="C38" i="68"/>
  <c r="C20" i="67"/>
  <c r="C15" i="68"/>
  <c r="C28" i="37"/>
  <c r="C53" i="37"/>
  <c r="C4" i="37"/>
  <c r="C3" i="37"/>
  <c r="C45" i="37"/>
  <c r="D15" i="68"/>
  <c r="C43" i="37"/>
  <c r="C42" i="37"/>
  <c r="D11" i="38"/>
  <c r="D10" i="38"/>
  <c r="AF4" i="23" s="1"/>
  <c r="D9" i="38"/>
  <c r="D8" i="38"/>
  <c r="D7" i="38"/>
  <c r="D3" i="38"/>
  <c r="K15" i="23" s="1"/>
  <c r="D12" i="38"/>
  <c r="D19" i="67"/>
  <c r="C29" i="69"/>
  <c r="D29" i="69"/>
  <c r="B29" i="69"/>
  <c r="F5" i="67"/>
  <c r="I19" i="67"/>
  <c r="D18" i="67"/>
  <c r="BA15" i="23"/>
  <c r="B20" i="23"/>
  <c r="BD5" i="23"/>
  <c r="BD6" i="23" s="1"/>
  <c r="BD7" i="23" s="1"/>
  <c r="BA5" i="23"/>
  <c r="BD4" i="23"/>
  <c r="BD10" i="23"/>
  <c r="L18" i="38"/>
  <c r="B19" i="67"/>
  <c r="B18" i="67"/>
  <c r="C18" i="67"/>
  <c r="C5" i="67"/>
  <c r="D4" i="67"/>
  <c r="L6" i="38"/>
  <c r="C15" i="37"/>
  <c r="E4" i="67" s="1"/>
  <c r="F4" i="67" s="1"/>
  <c r="BD12" i="23"/>
  <c r="C4" i="67"/>
  <c r="Q3" i="23"/>
  <c r="AU5" i="23"/>
  <c r="AU6" i="23" s="1"/>
  <c r="N22" i="38"/>
  <c r="N20" i="38"/>
  <c r="N19" i="38"/>
  <c r="N21" i="38" s="1"/>
  <c r="AR3" i="23"/>
  <c r="C56" i="37"/>
  <c r="D14" i="86"/>
  <c r="D10" i="86"/>
  <c r="C10" i="86"/>
  <c r="C14" i="86"/>
  <c r="E8" i="68"/>
  <c r="E48" i="66"/>
  <c r="E38" i="66"/>
  <c r="AF75" i="23"/>
  <c r="AF76" i="23"/>
  <c r="F15" i="66"/>
  <c r="E4" i="66"/>
  <c r="L4" i="38"/>
  <c r="AN5" i="88"/>
  <c r="AN4" i="88"/>
  <c r="AN3" i="88"/>
  <c r="G23" i="66"/>
  <c r="C25" i="37"/>
  <c r="C26" i="69"/>
  <c r="G22" i="66"/>
  <c r="F7" i="66"/>
  <c r="O17" i="86"/>
  <c r="C7" i="69"/>
  <c r="B39" i="68"/>
  <c r="B40" i="68"/>
  <c r="B41" i="68"/>
  <c r="B37" i="68"/>
  <c r="H18" i="68"/>
  <c r="H19" i="68"/>
  <c r="H20" i="68"/>
  <c r="C6" i="68"/>
  <c r="C7" i="68"/>
  <c r="C8" i="68"/>
  <c r="C4" i="68"/>
  <c r="C20" i="68"/>
  <c r="E20" i="68" s="1"/>
  <c r="C19" i="68"/>
  <c r="E19" i="68"/>
  <c r="C18" i="68"/>
  <c r="E18" i="68" s="1"/>
  <c r="G28" i="68"/>
  <c r="H28" i="68"/>
  <c r="F29" i="68"/>
  <c r="H29" i="68" s="1"/>
  <c r="G29" i="68"/>
  <c r="F30" i="68"/>
  <c r="G30" i="68"/>
  <c r="F31" i="68"/>
  <c r="H31" i="68" s="1"/>
  <c r="G31" i="68"/>
  <c r="R9" i="86"/>
  <c r="R10" i="86"/>
  <c r="H45" i="69"/>
  <c r="H46" i="69" s="1"/>
  <c r="H44" i="69"/>
  <c r="C4" i="69"/>
  <c r="B38" i="69"/>
  <c r="N5" i="38"/>
  <c r="L5" i="38"/>
  <c r="E4" i="69"/>
  <c r="H5" i="23"/>
  <c r="H6" i="23" s="1"/>
  <c r="H7" i="23" s="1"/>
  <c r="H14" i="23" s="1"/>
  <c r="H4" i="23"/>
  <c r="H12" i="23"/>
  <c r="BA4" i="23"/>
  <c r="B19" i="23"/>
  <c r="L15" i="38"/>
  <c r="C17" i="37"/>
  <c r="E6" i="67"/>
  <c r="F6" i="67" s="1"/>
  <c r="E7" i="67"/>
  <c r="L17" i="38"/>
  <c r="E5" i="68"/>
  <c r="F5" i="68"/>
  <c r="I38" i="68"/>
  <c r="C24" i="37"/>
  <c r="B20" i="67"/>
  <c r="C6" i="67"/>
  <c r="D6" i="67"/>
  <c r="N16" i="38"/>
  <c r="AX5" i="23" s="1"/>
  <c r="N14" i="38"/>
  <c r="AR5" i="23"/>
  <c r="AR6" i="23" s="1"/>
  <c r="B18" i="23"/>
  <c r="H3" i="23"/>
  <c r="H15" i="23"/>
  <c r="R13" i="86"/>
  <c r="R8" i="86"/>
  <c r="R11" i="86"/>
  <c r="R7" i="86"/>
  <c r="R6" i="86"/>
  <c r="R12" i="86"/>
  <c r="D25" i="69"/>
  <c r="D26" i="69" s="1"/>
  <c r="C25" i="69"/>
  <c r="B25" i="69"/>
  <c r="B26" i="69" s="1"/>
  <c r="AR4" i="23"/>
  <c r="AU4" i="23"/>
  <c r="AU12" i="23" s="1"/>
  <c r="AX4" i="23"/>
  <c r="AX12" i="23" s="1"/>
  <c r="G17" i="69" s="1"/>
  <c r="AU15" i="23"/>
  <c r="F16" i="69" s="1"/>
  <c r="G28" i="67"/>
  <c r="D12" i="67"/>
  <c r="F12" i="67" s="1"/>
  <c r="E12" i="67"/>
  <c r="AL5" i="23"/>
  <c r="C46" i="37"/>
  <c r="Q4" i="23"/>
  <c r="Q12" i="23"/>
  <c r="E7" i="68"/>
  <c r="F7" i="68" s="1"/>
  <c r="I40" i="68" s="1"/>
  <c r="E6" i="68"/>
  <c r="F6" i="68" s="1"/>
  <c r="I39" i="68" s="1"/>
  <c r="F8" i="68"/>
  <c r="I41" i="68" s="1"/>
  <c r="AL3" i="23"/>
  <c r="E7" i="66"/>
  <c r="G7" i="66"/>
  <c r="G13" i="66"/>
  <c r="G14" i="66"/>
  <c r="AL15" i="23"/>
  <c r="AO5" i="23"/>
  <c r="J2" i="23"/>
  <c r="B5" i="23" s="1"/>
  <c r="AO4" i="23"/>
  <c r="K3" i="23"/>
  <c r="K10" i="23"/>
  <c r="K11" i="23" s="1"/>
  <c r="K5" i="23"/>
  <c r="K6" i="23" s="1"/>
  <c r="N4" i="23"/>
  <c r="N5" i="23"/>
  <c r="N6" i="23" s="1"/>
  <c r="T4" i="23"/>
  <c r="W3" i="23"/>
  <c r="W10" i="23"/>
  <c r="W15" i="23"/>
  <c r="W5" i="23"/>
  <c r="W6" i="23"/>
  <c r="Z3" i="23"/>
  <c r="Z10" i="23" s="1"/>
  <c r="Z15" i="23"/>
  <c r="Z5" i="23"/>
  <c r="Z6" i="23" s="1"/>
  <c r="AC3" i="23"/>
  <c r="AC15" i="23"/>
  <c r="AC5" i="23"/>
  <c r="AC6" i="23" s="1"/>
  <c r="N10" i="38"/>
  <c r="AF3" i="23"/>
  <c r="AI15" i="23"/>
  <c r="P2" i="23"/>
  <c r="P9" i="23"/>
  <c r="B15" i="23"/>
  <c r="D16" i="37"/>
  <c r="D20" i="37"/>
  <c r="D19" i="37"/>
  <c r="D18" i="37"/>
  <c r="D17" i="37"/>
  <c r="AL9" i="23"/>
  <c r="AK2" i="23"/>
  <c r="B14" i="23"/>
  <c r="AI5" i="23"/>
  <c r="AI3" i="23"/>
  <c r="AI10" i="23"/>
  <c r="AI9" i="23"/>
  <c r="AH2" i="23"/>
  <c r="AE2" i="23"/>
  <c r="AF9" i="23"/>
  <c r="AC9" i="23"/>
  <c r="AB2" i="23"/>
  <c r="B11" i="23"/>
  <c r="Y2" i="23"/>
  <c r="Y9" i="23"/>
  <c r="W9" i="23"/>
  <c r="T9" i="23"/>
  <c r="Q9" i="23"/>
  <c r="N9" i="23"/>
  <c r="K9" i="23"/>
  <c r="H9" i="23"/>
  <c r="V2" i="23"/>
  <c r="B9" i="23" s="1"/>
  <c r="V9" i="23"/>
  <c r="S2" i="23"/>
  <c r="B8" i="23"/>
  <c r="M2" i="23"/>
  <c r="B6" i="23" s="1"/>
  <c r="M9" i="23"/>
  <c r="G2" i="23"/>
  <c r="G9" i="23"/>
  <c r="B3" i="23"/>
  <c r="T15" i="23"/>
  <c r="T5" i="23"/>
  <c r="T6" i="23"/>
  <c r="T3" i="23"/>
  <c r="T10" i="23"/>
  <c r="N3" i="23"/>
  <c r="N10" i="23" s="1"/>
  <c r="Z9" i="23"/>
  <c r="N15" i="23"/>
  <c r="AF78" i="23"/>
  <c r="W4" i="23"/>
  <c r="AF5" i="23"/>
  <c r="AF6" i="23"/>
  <c r="AR15" i="23"/>
  <c r="AX6" i="23"/>
  <c r="C16" i="37"/>
  <c r="A3" i="88"/>
  <c r="AG3" i="88"/>
  <c r="H10" i="23"/>
  <c r="AX10" i="23"/>
  <c r="AX11" i="23"/>
  <c r="AR10" i="23"/>
  <c r="AR11" i="23"/>
  <c r="Q10" i="23"/>
  <c r="BA10" i="23"/>
  <c r="BA11" i="23" s="1"/>
  <c r="BA19" i="23" s="1"/>
  <c r="AG4" i="88"/>
  <c r="A4" i="88"/>
  <c r="AG5" i="88"/>
  <c r="A5" i="88"/>
  <c r="E7" i="69"/>
  <c r="F7" i="69" s="1"/>
  <c r="I18" i="69" s="1"/>
  <c r="E6" i="69"/>
  <c r="AL4" i="23"/>
  <c r="B4" i="23"/>
  <c r="F38" i="68"/>
  <c r="R12" i="23"/>
  <c r="AB9" i="23"/>
  <c r="G41" i="68"/>
  <c r="F13" i="67"/>
  <c r="B7" i="86" s="1"/>
  <c r="C7" i="86" s="1"/>
  <c r="Z4" i="23"/>
  <c r="Z7" i="23" s="1"/>
  <c r="Z14" i="23" s="1"/>
  <c r="Z16" i="23" s="1"/>
  <c r="AF15" i="23"/>
  <c r="AC4" i="23"/>
  <c r="AC7" i="23"/>
  <c r="AC14" i="23"/>
  <c r="AC16" i="23" s="1"/>
  <c r="D11" i="23" s="1"/>
  <c r="AI4" i="23"/>
  <c r="AI12" i="23"/>
  <c r="AI13" i="23" s="1"/>
  <c r="BA6" i="23"/>
  <c r="BD15" i="23"/>
  <c r="BD14" i="23"/>
  <c r="BD16" i="23" s="1"/>
  <c r="B10" i="23"/>
  <c r="C23" i="37"/>
  <c r="E5" i="69"/>
  <c r="F5" i="69"/>
  <c r="G19" i="67"/>
  <c r="B54" i="66"/>
  <c r="A38" i="66"/>
  <c r="A35" i="66" s="1"/>
  <c r="E42" i="66"/>
  <c r="E34" i="66"/>
  <c r="E39" i="66"/>
  <c r="E36" i="66"/>
  <c r="E37" i="66"/>
  <c r="E40" i="66"/>
  <c r="E41" i="66"/>
  <c r="E35" i="66"/>
  <c r="F19" i="67"/>
  <c r="F48" i="66"/>
  <c r="C48" i="66"/>
  <c r="H11" i="23"/>
  <c r="AX19" i="23"/>
  <c r="BA12" i="23"/>
  <c r="AX7" i="23"/>
  <c r="AX14" i="23"/>
  <c r="AX16" i="23" s="1"/>
  <c r="B7" i="23"/>
  <c r="AF12" i="23"/>
  <c r="H30" i="68"/>
  <c r="AU7" i="23"/>
  <c r="AU14" i="23" s="1"/>
  <c r="AU16" i="23" s="1"/>
  <c r="H8" i="23"/>
  <c r="AL8" i="23"/>
  <c r="AL12" i="23"/>
  <c r="G18" i="69" s="1"/>
  <c r="G4" i="66"/>
  <c r="G5" i="66" s="1"/>
  <c r="AE9" i="23"/>
  <c r="B12" i="23"/>
  <c r="AI11" i="23"/>
  <c r="J9" i="23"/>
  <c r="Z11" i="23"/>
  <c r="S9" i="23"/>
  <c r="T12" i="23"/>
  <c r="T7" i="23"/>
  <c r="T14" i="23" s="1"/>
  <c r="T16" i="23" s="1"/>
  <c r="G40" i="68"/>
  <c r="K4" i="23"/>
  <c r="K7" i="23" s="1"/>
  <c r="K14" i="23" s="1"/>
  <c r="K16" i="23" s="1"/>
  <c r="F4" i="69"/>
  <c r="K38" i="69" s="1"/>
  <c r="AK9" i="23"/>
  <c r="AX15" i="23"/>
  <c r="F17" i="69"/>
  <c r="AC12" i="23"/>
  <c r="AI19" i="23"/>
  <c r="B58" i="66"/>
  <c r="B50" i="66"/>
  <c r="B53" i="66"/>
  <c r="I20" i="67"/>
  <c r="A41" i="66"/>
  <c r="A34" i="66"/>
  <c r="A39" i="66"/>
  <c r="A42" i="66"/>
  <c r="A40" i="66"/>
  <c r="D13" i="86"/>
  <c r="C13" i="86"/>
  <c r="G14" i="68"/>
  <c r="H14" i="68"/>
  <c r="D14" i="68"/>
  <c r="E14" i="68" s="1"/>
  <c r="E21" i="68" s="1"/>
  <c r="H16" i="23"/>
  <c r="D17" i="23"/>
  <c r="K12" i="23"/>
  <c r="K19" i="23" s="1"/>
  <c r="G16" i="68"/>
  <c r="H16" i="68"/>
  <c r="D16" i="68"/>
  <c r="E16" i="68" s="1"/>
  <c r="D7" i="86"/>
  <c r="C13" i="23"/>
  <c r="E15" i="68"/>
  <c r="G15" i="68"/>
  <c r="H15" i="68" s="1"/>
  <c r="H21" i="68" s="1"/>
  <c r="D4" i="23"/>
  <c r="K13" i="23"/>
  <c r="C5" i="23" s="1"/>
  <c r="D17" i="68"/>
  <c r="E17" i="68"/>
  <c r="G17" i="68"/>
  <c r="H17" i="68"/>
  <c r="F8" i="66" l="1"/>
  <c r="G8" i="66" s="1"/>
  <c r="K17" i="23"/>
  <c r="K20" i="23" s="1"/>
  <c r="E5" i="23" s="1"/>
  <c r="D5" i="23"/>
  <c r="D18" i="23"/>
  <c r="J40" i="68"/>
  <c r="D10" i="23"/>
  <c r="D8" i="23"/>
  <c r="I16" i="69"/>
  <c r="AL7" i="23"/>
  <c r="AL14" i="23" s="1"/>
  <c r="Q15" i="23"/>
  <c r="Q5" i="23"/>
  <c r="Q6" i="23" s="1"/>
  <c r="Q7" i="23" s="1"/>
  <c r="Q14" i="23" s="1"/>
  <c r="H38" i="68"/>
  <c r="H20" i="67"/>
  <c r="H13" i="23"/>
  <c r="C4" i="23" s="1"/>
  <c r="Q11" i="23"/>
  <c r="H41" i="68"/>
  <c r="J41" i="68" s="1"/>
  <c r="H37" i="68"/>
  <c r="H40" i="68"/>
  <c r="AX13" i="23"/>
  <c r="C18" i="23" s="1"/>
  <c r="E4" i="68"/>
  <c r="C19" i="37"/>
  <c r="AR12" i="23"/>
  <c r="G16" i="69" s="1"/>
  <c r="AR7" i="23"/>
  <c r="AR14" i="23" s="1"/>
  <c r="E39" i="68"/>
  <c r="E18" i="67"/>
  <c r="E19" i="67"/>
  <c r="E17" i="69"/>
  <c r="H32" i="68"/>
  <c r="F9" i="66" s="1"/>
  <c r="G9" i="66" s="1"/>
  <c r="H17" i="69"/>
  <c r="B51" i="66"/>
  <c r="B57" i="66"/>
  <c r="B56" i="66"/>
  <c r="B55" i="66"/>
  <c r="N11" i="23"/>
  <c r="N13" i="23" s="1"/>
  <c r="C6" i="23" s="1"/>
  <c r="AH9" i="23"/>
  <c r="B13" i="23"/>
  <c r="F18" i="69"/>
  <c r="F19" i="69" s="1"/>
  <c r="AL6" i="23"/>
  <c r="AI6" i="23"/>
  <c r="AI7" i="23" s="1"/>
  <c r="AI14" i="23" s="1"/>
  <c r="AI16" i="23" s="1"/>
  <c r="BA7" i="23"/>
  <c r="BA14" i="23" s="1"/>
  <c r="G48" i="66"/>
  <c r="D48" i="66"/>
  <c r="I18" i="67"/>
  <c r="I21" i="67" s="1"/>
  <c r="F7" i="67"/>
  <c r="BD11" i="23"/>
  <c r="BD19" i="23"/>
  <c r="B52" i="66"/>
  <c r="Q13" i="23"/>
  <c r="C7" i="23" s="1"/>
  <c r="T11" i="23"/>
  <c r="T19" i="23" s="1"/>
  <c r="T13" i="23"/>
  <c r="C8" i="23" s="1"/>
  <c r="W11" i="23"/>
  <c r="W13" i="23" s="1"/>
  <c r="C9" i="23" s="1"/>
  <c r="N12" i="23"/>
  <c r="G20" i="67" s="1"/>
  <c r="N7" i="23"/>
  <c r="N14" i="23" s="1"/>
  <c r="N16" i="23" s="1"/>
  <c r="G39" i="68"/>
  <c r="G37" i="68"/>
  <c r="BA13" i="23"/>
  <c r="C19" i="23" s="1"/>
  <c r="Z12" i="23"/>
  <c r="Z19" i="23" s="1"/>
  <c r="AR13" i="23"/>
  <c r="C16" i="23" s="1"/>
  <c r="AR19" i="23"/>
  <c r="H19" i="23"/>
  <c r="H18" i="67"/>
  <c r="W12" i="23"/>
  <c r="W19" i="23" s="1"/>
  <c r="W7" i="23"/>
  <c r="W14" i="23" s="1"/>
  <c r="W16" i="23" s="1"/>
  <c r="F18" i="67"/>
  <c r="F21" i="67" s="1"/>
  <c r="F20" i="67"/>
  <c r="G38" i="68"/>
  <c r="J38" i="68" s="1"/>
  <c r="G18" i="67"/>
  <c r="A37" i="66"/>
  <c r="A36" i="66"/>
  <c r="F6" i="69"/>
  <c r="I17" i="69" s="1"/>
  <c r="E8" i="69"/>
  <c r="AF7" i="23"/>
  <c r="AF14" i="23" s="1"/>
  <c r="AF16" i="23" s="1"/>
  <c r="AC10" i="23"/>
  <c r="AU10" i="23"/>
  <c r="AF10" i="23"/>
  <c r="AL10" i="23"/>
  <c r="D13" i="23" l="1"/>
  <c r="AI17" i="23"/>
  <c r="AI20" i="23" s="1"/>
  <c r="E13" i="23" s="1"/>
  <c r="E18" i="69"/>
  <c r="AL16" i="23"/>
  <c r="AC11" i="23"/>
  <c r="AC19" i="23" s="1"/>
  <c r="AC13" i="23"/>
  <c r="H21" i="67"/>
  <c r="H19" i="67"/>
  <c r="J19" i="67" s="1"/>
  <c r="BD13" i="23"/>
  <c r="N19" i="23"/>
  <c r="G19" i="69"/>
  <c r="Q19" i="23"/>
  <c r="G38" i="69" s="1"/>
  <c r="H39" i="68"/>
  <c r="J39" i="68" s="1"/>
  <c r="F8" i="69"/>
  <c r="H17" i="23"/>
  <c r="H20" i="23" s="1"/>
  <c r="E4" i="23" s="1"/>
  <c r="G42" i="68"/>
  <c r="J17" i="69"/>
  <c r="AR16" i="23"/>
  <c r="E16" i="69"/>
  <c r="AL11" i="23"/>
  <c r="H18" i="69" s="1"/>
  <c r="J18" i="69" s="1"/>
  <c r="E38" i="68"/>
  <c r="K38" i="68" s="1"/>
  <c r="BA16" i="23"/>
  <c r="BA17" i="23" s="1"/>
  <c r="K17" i="69"/>
  <c r="Q16" i="23"/>
  <c r="F38" i="69"/>
  <c r="E37" i="68"/>
  <c r="E40" i="68"/>
  <c r="I19" i="69"/>
  <c r="T17" i="23"/>
  <c r="T20" i="23" s="1"/>
  <c r="E8" i="23" s="1"/>
  <c r="AX17" i="23"/>
  <c r="AX20" i="23" s="1"/>
  <c r="E18" i="23" s="1"/>
  <c r="AU11" i="23"/>
  <c r="AU13" i="23" s="1"/>
  <c r="AU19" i="23"/>
  <c r="K19" i="67"/>
  <c r="D12" i="23"/>
  <c r="D6" i="23"/>
  <c r="N17" i="23"/>
  <c r="N20" i="23" s="1"/>
  <c r="E6" i="23" s="1"/>
  <c r="AF11" i="23"/>
  <c r="AF13" i="23" s="1"/>
  <c r="J18" i="67"/>
  <c r="G21" i="67"/>
  <c r="D9" i="23"/>
  <c r="W17" i="23"/>
  <c r="W20" i="23" s="1"/>
  <c r="E9" i="23" s="1"/>
  <c r="J20" i="67"/>
  <c r="Z13" i="23"/>
  <c r="E20" i="67"/>
  <c r="K20" i="67" s="1"/>
  <c r="E41" i="68"/>
  <c r="F4" i="68"/>
  <c r="H38" i="69"/>
  <c r="E9" i="68"/>
  <c r="I38" i="69"/>
  <c r="F41" i="68"/>
  <c r="J38" i="69"/>
  <c r="F39" i="68"/>
  <c r="K39" i="68" s="1"/>
  <c r="F40" i="68"/>
  <c r="F37" i="68"/>
  <c r="C17" i="23" l="1"/>
  <c r="AU17" i="23"/>
  <c r="AU20" i="23" s="1"/>
  <c r="E17" i="23" s="1"/>
  <c r="C12" i="23"/>
  <c r="AF17" i="23"/>
  <c r="AF20" i="23" s="1"/>
  <c r="E12" i="23" s="1"/>
  <c r="C10" i="23"/>
  <c r="Z17" i="23"/>
  <c r="Z20" i="23" s="1"/>
  <c r="E10" i="23" s="1"/>
  <c r="AR17" i="23"/>
  <c r="AR20" i="23" s="1"/>
  <c r="E16" i="23" s="1"/>
  <c r="D16" i="23"/>
  <c r="AF19" i="23"/>
  <c r="C20" i="23"/>
  <c r="BD17" i="23"/>
  <c r="C11" i="23"/>
  <c r="AC17" i="23"/>
  <c r="AC20" i="23" s="1"/>
  <c r="E11" i="23" s="1"/>
  <c r="J21" i="67"/>
  <c r="Q17" i="23"/>
  <c r="Q20" i="23" s="1"/>
  <c r="E7" i="23" s="1"/>
  <c r="D7" i="23"/>
  <c r="AL13" i="23"/>
  <c r="C14" i="23" s="1"/>
  <c r="E21" i="67"/>
  <c r="F20" i="66" s="1"/>
  <c r="G20" i="66" s="1"/>
  <c r="G24" i="66" s="1"/>
  <c r="E42" i="68"/>
  <c r="D14" i="23"/>
  <c r="AL17" i="23"/>
  <c r="F10" i="66"/>
  <c r="G10" i="66" s="1"/>
  <c r="L38" i="69"/>
  <c r="D19" i="23"/>
  <c r="BA20" i="23"/>
  <c r="E19" i="23" s="1"/>
  <c r="AL19" i="23"/>
  <c r="K18" i="69"/>
  <c r="F42" i="68"/>
  <c r="F21" i="66" s="1"/>
  <c r="G21" i="66" s="1"/>
  <c r="I37" i="68"/>
  <c r="F9" i="68"/>
  <c r="H16" i="69"/>
  <c r="K41" i="68"/>
  <c r="K40" i="68"/>
  <c r="H42" i="68"/>
  <c r="E19" i="69"/>
  <c r="K18" i="67"/>
  <c r="K21" i="67" s="1"/>
  <c r="B8" i="86" s="1"/>
  <c r="I42" i="68" l="1"/>
  <c r="F12" i="66" s="1"/>
  <c r="G12" i="66" s="1"/>
  <c r="J37" i="68"/>
  <c r="AL20" i="23"/>
  <c r="BD20" i="23"/>
  <c r="E20" i="23" s="1"/>
  <c r="D20" i="23"/>
  <c r="C8" i="86"/>
  <c r="D8" i="86"/>
  <c r="H19" i="69"/>
  <c r="F11" i="66" s="1"/>
  <c r="G11" i="66" s="1"/>
  <c r="J16" i="69"/>
  <c r="E15" i="66" l="1"/>
  <c r="G15" i="66" s="1"/>
  <c r="G16" i="66"/>
  <c r="E14" i="23"/>
  <c r="D27" i="69"/>
  <c r="D28" i="69" s="1"/>
  <c r="C27" i="69"/>
  <c r="C28" i="69" s="1"/>
  <c r="B27" i="69"/>
  <c r="B28" i="69" s="1"/>
  <c r="J42" i="68"/>
  <c r="K37" i="68"/>
  <c r="K42" i="68" s="1"/>
  <c r="B9" i="86" s="1"/>
  <c r="J19" i="69"/>
  <c r="K16" i="69"/>
  <c r="K19" i="69" s="1"/>
  <c r="B11" i="86" s="1"/>
  <c r="D31" i="69" l="1"/>
  <c r="D12" i="86" s="1"/>
  <c r="D30" i="69"/>
  <c r="C11" i="86"/>
  <c r="D11" i="86"/>
  <c r="B40" i="66"/>
  <c r="G37" i="66"/>
  <c r="G34" i="66"/>
  <c r="B35" i="66"/>
  <c r="B42" i="66"/>
  <c r="G25" i="66"/>
  <c r="F36" i="66"/>
  <c r="C38" i="66"/>
  <c r="C42" i="66"/>
  <c r="G40" i="66"/>
  <c r="B34" i="66"/>
  <c r="G17" i="66"/>
  <c r="G35" i="66"/>
  <c r="F40" i="66"/>
  <c r="C41" i="66"/>
  <c r="B36" i="66"/>
  <c r="C35" i="66"/>
  <c r="C36" i="66"/>
  <c r="G42" i="66"/>
  <c r="G26" i="66"/>
  <c r="F37" i="66"/>
  <c r="P2" i="37"/>
  <c r="F42" i="66"/>
  <c r="F34" i="66"/>
  <c r="B37" i="66"/>
  <c r="C34" i="66"/>
  <c r="B39" i="66"/>
  <c r="C39" i="66"/>
  <c r="C40" i="66"/>
  <c r="G36" i="66"/>
  <c r="G39" i="66"/>
  <c r="B38" i="66"/>
  <c r="G38" i="66"/>
  <c r="F41" i="66"/>
  <c r="G41" i="66"/>
  <c r="F38" i="66"/>
  <c r="F35" i="66"/>
  <c r="B41" i="66"/>
  <c r="F39" i="66"/>
  <c r="C37" i="66"/>
  <c r="C9" i="86"/>
  <c r="D9" i="86"/>
  <c r="B15" i="86"/>
  <c r="B31" i="69"/>
  <c r="C12" i="86" s="1"/>
  <c r="B30" i="69"/>
  <c r="C31" i="69"/>
  <c r="B12" i="86" s="1"/>
  <c r="C30" i="69"/>
  <c r="B20" i="86" l="1"/>
  <c r="B16" i="86"/>
  <c r="F53" i="66"/>
  <c r="E50" i="66"/>
  <c r="E53" i="66"/>
  <c r="C50" i="66"/>
  <c r="F50" i="66"/>
  <c r="E54" i="66"/>
  <c r="F54" i="66"/>
  <c r="C53" i="66"/>
  <c r="C54" i="66"/>
  <c r="E58" i="66"/>
  <c r="C58" i="66"/>
  <c r="F58" i="66"/>
  <c r="G55" i="66"/>
  <c r="G54" i="66"/>
  <c r="F57" i="66"/>
  <c r="D52" i="66"/>
  <c r="D55" i="66"/>
  <c r="C55" i="66"/>
  <c r="C52" i="66"/>
  <c r="E51" i="66"/>
  <c r="D51" i="66"/>
  <c r="E52" i="66"/>
  <c r="D58" i="66"/>
  <c r="F52" i="66"/>
  <c r="G53" i="66"/>
  <c r="G58" i="66"/>
  <c r="G57" i="66"/>
  <c r="E57" i="66"/>
  <c r="D57" i="66"/>
  <c r="F55" i="66"/>
  <c r="G56" i="66"/>
  <c r="G52" i="66"/>
  <c r="C56" i="66"/>
  <c r="C57" i="66"/>
  <c r="D53" i="66"/>
  <c r="D56" i="66"/>
  <c r="C51" i="66"/>
  <c r="G50" i="66"/>
  <c r="G51" i="66"/>
  <c r="E56" i="66"/>
  <c r="D50" i="66"/>
  <c r="E55" i="66"/>
  <c r="F51" i="66"/>
  <c r="F56" i="66"/>
  <c r="D54" i="66"/>
  <c r="O18" i="86" l="1"/>
  <c r="N9" i="86"/>
  <c r="S6" i="86" s="1"/>
  <c r="N10" i="86"/>
  <c r="S11" i="86" s="1"/>
  <c r="B17" i="86"/>
  <c r="N6" i="86"/>
  <c r="S7" i="86" s="1"/>
  <c r="N12" i="86"/>
  <c r="S13" i="86" s="1"/>
  <c r="N11" i="86"/>
  <c r="S8" i="86" s="1"/>
  <c r="U8" i="86" s="1"/>
  <c r="P10" i="86"/>
  <c r="T11" i="86" s="1"/>
  <c r="N7" i="86"/>
  <c r="S12" i="86" s="1"/>
  <c r="P12" i="86"/>
  <c r="T13" i="86" s="1"/>
  <c r="P6" i="86"/>
  <c r="T7" i="86" s="1"/>
  <c r="B21" i="86"/>
  <c r="P11" i="86"/>
  <c r="T8" i="86" s="1"/>
  <c r="B18" i="86"/>
  <c r="P7" i="86"/>
  <c r="T12" i="86" s="1"/>
  <c r="P13" i="86"/>
  <c r="T9" i="86" s="1"/>
  <c r="P8" i="86"/>
  <c r="T10" i="86" s="1"/>
  <c r="N8" i="86"/>
  <c r="S10" i="86" s="1"/>
  <c r="U10" i="86" s="1"/>
  <c r="P9" i="86"/>
  <c r="T6" i="86" s="1"/>
  <c r="N13" i="86"/>
  <c r="S9" i="86" s="1"/>
  <c r="U9" i="86" s="1"/>
  <c r="U11" i="86" l="1"/>
  <c r="O6" i="86"/>
  <c r="O9" i="86"/>
  <c r="O7" i="86"/>
  <c r="O12" i="86"/>
  <c r="O13" i="86"/>
  <c r="O11" i="86"/>
  <c r="O10" i="86"/>
  <c r="O8" i="86"/>
  <c r="U13" i="86"/>
  <c r="U6" i="86"/>
  <c r="U12" i="86"/>
  <c r="U7" i="86"/>
</calcChain>
</file>

<file path=xl/sharedStrings.xml><?xml version="1.0" encoding="utf-8"?>
<sst xmlns="http://schemas.openxmlformats.org/spreadsheetml/2006/main" count="1360" uniqueCount="568">
  <si>
    <t>Labor</t>
  </si>
  <si>
    <t>Item</t>
  </si>
  <si>
    <t>Units</t>
  </si>
  <si>
    <t>Quantity</t>
  </si>
  <si>
    <t>Price</t>
  </si>
  <si>
    <t>Cost</t>
  </si>
  <si>
    <t>Description</t>
  </si>
  <si>
    <t>Salvage Value ($)</t>
  </si>
  <si>
    <t>NA</t>
  </si>
  <si>
    <t>Parameter</t>
  </si>
  <si>
    <t>Source</t>
  </si>
  <si>
    <t>Capital Recovery ($/hour)</t>
  </si>
  <si>
    <t>TIH ($/hour)</t>
  </si>
  <si>
    <t>Operation</t>
  </si>
  <si>
    <t>Equipment</t>
  </si>
  <si>
    <t>Machine</t>
  </si>
  <si>
    <t>Total</t>
  </si>
  <si>
    <t>(ASABE Standards 2009)</t>
  </si>
  <si>
    <t>Nominal Interest</t>
  </si>
  <si>
    <t>Insurance (% of PP)</t>
  </si>
  <si>
    <t>Housing (% of PP)</t>
  </si>
  <si>
    <t>(UT Extention 2013)</t>
  </si>
  <si>
    <t>Rake</t>
  </si>
  <si>
    <t>Front End Loader</t>
  </si>
  <si>
    <t>List Price</t>
  </si>
  <si>
    <t>Purchase Price</t>
  </si>
  <si>
    <t>Hours of Useful Life</t>
  </si>
  <si>
    <t>Hours of Use Per Year</t>
  </si>
  <si>
    <t>(Larson et al. 2010)</t>
  </si>
  <si>
    <t>Repair Factor 1</t>
  </si>
  <si>
    <t>Repair Factor 2</t>
  </si>
  <si>
    <t>R&amp;M Factor</t>
  </si>
  <si>
    <t>(ASABE Standards)</t>
  </si>
  <si>
    <t>Fuel Factor 1</t>
  </si>
  <si>
    <t>Fuel Factor 2</t>
  </si>
  <si>
    <t>Fuel Use (gallon/hour)</t>
  </si>
  <si>
    <t>Useful Years</t>
  </si>
  <si>
    <t>Salvage Factor</t>
  </si>
  <si>
    <t>Diesel Fuel ($/hour)</t>
  </si>
  <si>
    <t>Lubrication Costs ($/hour)</t>
  </si>
  <si>
    <t>Repair &amp; Maintenance ($/hour)</t>
  </si>
  <si>
    <t>Operating Costs ($/hour)</t>
  </si>
  <si>
    <t>Ownership Costs ($/hour)</t>
  </si>
  <si>
    <t>Total Machinery Cost ($/hour)</t>
  </si>
  <si>
    <t>Other Materials</t>
  </si>
  <si>
    <t>Operating Interest Cost</t>
  </si>
  <si>
    <t>Total Costs ($/hour)</t>
  </si>
  <si>
    <t xml:space="preserve">Source: </t>
  </si>
  <si>
    <t>John Deere web site: 2-8-11</t>
  </si>
  <si>
    <t xml:space="preserve">Tractor, 150 H.P.,W/Cab, Air       </t>
  </si>
  <si>
    <t>(UT extention 2013)</t>
  </si>
  <si>
    <t>Sprayer, 60` boom</t>
  </si>
  <si>
    <t>Cost/Hour</t>
  </si>
  <si>
    <t>Pickup Truck</t>
  </si>
  <si>
    <t>Month</t>
  </si>
  <si>
    <t>Hours</t>
  </si>
  <si>
    <t>May</t>
  </si>
  <si>
    <t>Plant</t>
  </si>
  <si>
    <t>Seed</t>
  </si>
  <si>
    <t>Pure live seed</t>
  </si>
  <si>
    <t>Operating</t>
  </si>
  <si>
    <t>Cost/hour</t>
  </si>
  <si>
    <t>Ownership</t>
  </si>
  <si>
    <t>Semi-Tractor Trailer</t>
  </si>
  <si>
    <t>EPA</t>
  </si>
  <si>
    <t>Tool and Manufacturing Engineers Handbook</t>
  </si>
  <si>
    <t>Harvest</t>
  </si>
  <si>
    <t>(UT Extention 2016)</t>
  </si>
  <si>
    <t>3' x 4 'x 8' Large Rectangular Baler</t>
  </si>
  <si>
    <t>Discount Rate</t>
  </si>
  <si>
    <t>Semitractor trailer (hr/load)</t>
  </si>
  <si>
    <t>Mower Conditioner</t>
  </si>
  <si>
    <t>Real (Equipment) Interest Rate</t>
  </si>
  <si>
    <t>(Perrin et al 2008)</t>
  </si>
  <si>
    <t>Tax Rate (% of PP)</t>
  </si>
  <si>
    <t>Power Unit</t>
  </si>
  <si>
    <t xml:space="preserve">Labor Factor Machine Time Operation </t>
  </si>
  <si>
    <t>Lubrication factor (%)</t>
  </si>
  <si>
    <t>No</t>
  </si>
  <si>
    <t>Label</t>
  </si>
  <si>
    <t>Lub_Factor</t>
  </si>
  <si>
    <t>Tractor, 215 H.P.,W/Cab, Air</t>
  </si>
  <si>
    <t>Wang Thesis</t>
  </si>
  <si>
    <t>Purchase Price/List Price (percentage)</t>
  </si>
  <si>
    <t>Machine 1</t>
  </si>
  <si>
    <t>Machine 2</t>
  </si>
  <si>
    <t>Machine 3</t>
  </si>
  <si>
    <t>Machine 4</t>
  </si>
  <si>
    <t>Machine 5</t>
  </si>
  <si>
    <t>Machine 6</t>
  </si>
  <si>
    <t>Machine 7</t>
  </si>
  <si>
    <t>Machine 8</t>
  </si>
  <si>
    <t>Machine 9</t>
  </si>
  <si>
    <t>Machine 10</t>
  </si>
  <si>
    <t>Machine 11</t>
  </si>
  <si>
    <t>Salvage Value Percentage for Gravel Pad Budget</t>
  </si>
  <si>
    <t>lb_tons</t>
  </si>
  <si>
    <t>Machine and Specification</t>
  </si>
  <si>
    <t>Box Scrapper</t>
  </si>
  <si>
    <t>Machine 12</t>
  </si>
  <si>
    <t>farm_labor_cost</t>
  </si>
  <si>
    <t>farm labor cost/hr</t>
  </si>
  <si>
    <t>truck_labor_cost</t>
  </si>
  <si>
    <t>truck labor cost/hr</t>
  </si>
  <si>
    <t>labor_factor_machine</t>
  </si>
  <si>
    <t>purchase_list_factor</t>
  </si>
  <si>
    <t>salvage_factor_gravelpad</t>
  </si>
  <si>
    <t>conversion lb to tons</t>
  </si>
  <si>
    <t>Machine Hours (time/rate)</t>
  </si>
  <si>
    <t>fertilizer_tractor</t>
  </si>
  <si>
    <t>plant_notill_drill</t>
  </si>
  <si>
    <t>herbicide_spray</t>
  </si>
  <si>
    <t>q_seed</t>
  </si>
  <si>
    <t>q_P2O5</t>
  </si>
  <si>
    <t>q_K2O</t>
  </si>
  <si>
    <t>q_broadleaf_herbicide</t>
  </si>
  <si>
    <t>p_seed</t>
  </si>
  <si>
    <t>q_N</t>
  </si>
  <si>
    <t>p_P2O5</t>
  </si>
  <si>
    <t>p_K2O</t>
  </si>
  <si>
    <t>p_N</t>
  </si>
  <si>
    <t>p_broadleaf_herbicide</t>
  </si>
  <si>
    <t>pint</t>
  </si>
  <si>
    <t>acre</t>
  </si>
  <si>
    <t>$/pound</t>
  </si>
  <si>
    <t>$/pint</t>
  </si>
  <si>
    <t>$/acre</t>
  </si>
  <si>
    <t>fuel_gal</t>
  </si>
  <si>
    <t>real_interest</t>
  </si>
  <si>
    <t>nom_interest</t>
  </si>
  <si>
    <t>disc_rate</t>
  </si>
  <si>
    <t>housing</t>
  </si>
  <si>
    <t>tax_rate</t>
  </si>
  <si>
    <t>insurance</t>
  </si>
  <si>
    <t>Machinery</t>
  </si>
  <si>
    <t>inflation</t>
  </si>
  <si>
    <t>Inflation rate based on GDP Deflator</t>
  </si>
  <si>
    <t>(UT Extention 2013 in 2016$)</t>
  </si>
  <si>
    <t>(UT Extention 2010 in 2016$)</t>
  </si>
  <si>
    <t>(UT Extention 2010  in 2016$)</t>
  </si>
  <si>
    <t>transport_semitractor</t>
  </si>
  <si>
    <t>postemerge_spray60</t>
  </si>
  <si>
    <t>((Updated from Larson et al., 2010) in 2016$)</t>
  </si>
  <si>
    <t xml:space="preserve">Unit </t>
  </si>
  <si>
    <t xml:space="preserve">Quantity </t>
  </si>
  <si>
    <t xml:space="preserve">Fertilizer </t>
  </si>
  <si>
    <t>Price ($)</t>
  </si>
  <si>
    <t>Total ($/Acre)</t>
  </si>
  <si>
    <t>Nitrogen</t>
  </si>
  <si>
    <t>Urea</t>
  </si>
  <si>
    <t>Phosphorous</t>
  </si>
  <si>
    <t>Total Revenue</t>
  </si>
  <si>
    <t>Potassium</t>
  </si>
  <si>
    <t>Lime</t>
  </si>
  <si>
    <t>Limestone</t>
  </si>
  <si>
    <t>Other</t>
  </si>
  <si>
    <t>Sulfur</t>
  </si>
  <si>
    <t xml:space="preserve">Other </t>
  </si>
  <si>
    <t>Boron</t>
  </si>
  <si>
    <t>Chemical</t>
  </si>
  <si>
    <t>Unit</t>
  </si>
  <si>
    <t>Number of Apps.</t>
  </si>
  <si>
    <t>Herbicides</t>
  </si>
  <si>
    <t>pt.</t>
  </si>
  <si>
    <t>Total Variable Expenses</t>
  </si>
  <si>
    <t>Return Above Variable Expenses</t>
  </si>
  <si>
    <t>Insecticides</t>
  </si>
  <si>
    <t>Fungicides</t>
  </si>
  <si>
    <t>Implement</t>
  </si>
  <si>
    <t>Size</t>
  </si>
  <si>
    <t>Capital Recovery</t>
  </si>
  <si>
    <t>Repairs &amp; Maintenance</t>
  </si>
  <si>
    <t>Fuel, Oil &amp; Filter</t>
  </si>
  <si>
    <t>Haul</t>
  </si>
  <si>
    <t>Semi Tractor/Trailer</t>
  </si>
  <si>
    <t>Tractor, 215 hp</t>
  </si>
  <si>
    <t>Fungicide application</t>
  </si>
  <si>
    <t>Insecticide application</t>
  </si>
  <si>
    <t xml:space="preserve">Fungicide </t>
  </si>
  <si>
    <t>Insecticide</t>
  </si>
  <si>
    <t>Combine</t>
  </si>
  <si>
    <t>Grain Head</t>
  </si>
  <si>
    <t>30 ft</t>
  </si>
  <si>
    <t>Grain Cart</t>
  </si>
  <si>
    <t>q_lime</t>
  </si>
  <si>
    <t>q_boron</t>
  </si>
  <si>
    <t>q_sulfur</t>
  </si>
  <si>
    <t>p_lime</t>
  </si>
  <si>
    <t>p_boron</t>
  </si>
  <si>
    <t>p_sulfur</t>
  </si>
  <si>
    <t>Airplane seed drop per acre rental rate</t>
  </si>
  <si>
    <t>Aerial Seeding</t>
  </si>
  <si>
    <t>Rental</t>
  </si>
  <si>
    <t>Rate</t>
  </si>
  <si>
    <t>aerial_seed_rent</t>
  </si>
  <si>
    <t>pennycress_price</t>
  </si>
  <si>
    <t>$/lb</t>
  </si>
  <si>
    <t>pennycress_yield</t>
  </si>
  <si>
    <t>Herbicide application</t>
  </si>
  <si>
    <t>fungicide_spray</t>
  </si>
  <si>
    <t>insecticide_spray</t>
  </si>
  <si>
    <t>q_insecticide</t>
  </si>
  <si>
    <t>UT Extension Canola Budget 2017</t>
  </si>
  <si>
    <t>q_fungicide</t>
  </si>
  <si>
    <t>p_insecticide</t>
  </si>
  <si>
    <t>p_fungicide</t>
  </si>
  <si>
    <t>Herbicide</t>
  </si>
  <si>
    <t>Function</t>
  </si>
  <si>
    <t>Pre-plant</t>
  </si>
  <si>
    <t>Desiccant</t>
  </si>
  <si>
    <t>Seed Treatment</t>
  </si>
  <si>
    <t>Foliar</t>
  </si>
  <si>
    <t>q_preharvest_herbicide</t>
  </si>
  <si>
    <t>p_preharvest_herbicide</t>
  </si>
  <si>
    <t>harvest_combine</t>
  </si>
  <si>
    <t>Combine with 30' Grain Head</t>
  </si>
  <si>
    <t>haul_grain_cart</t>
  </si>
  <si>
    <t>Tractor, 215 H.P., W/Cab, Air and Grain Cart</t>
  </si>
  <si>
    <t>Tractor</t>
  </si>
  <si>
    <t>800 bu</t>
  </si>
  <si>
    <t>semi_tractor_capacity</t>
  </si>
  <si>
    <t>bushels</t>
  </si>
  <si>
    <t>pennycress_pounds_bushel</t>
  </si>
  <si>
    <t>acres_per_load</t>
  </si>
  <si>
    <t>acres of yield that can be transported per semi-tractor load</t>
  </si>
  <si>
    <t>Combine Harvester</t>
  </si>
  <si>
    <t>Grain Head for Combine</t>
  </si>
  <si>
    <t>Machine 13</t>
  </si>
  <si>
    <t xml:space="preserve">Combine S.P. W/Cab, Air, No Head, 8-Row(9600) </t>
  </si>
  <si>
    <t>(ASABE Standards 2011)</t>
  </si>
  <si>
    <t>(ASABE Standards 5-9)</t>
  </si>
  <si>
    <t>N/A</t>
  </si>
  <si>
    <t>Grain Head 30', Combine Implement</t>
  </si>
  <si>
    <t>Grain Head 30'</t>
  </si>
  <si>
    <t>Machine 14</t>
  </si>
  <si>
    <t>Grain Cart, 750 bu capacity</t>
  </si>
  <si>
    <t>Grain Cart 750bu</t>
  </si>
  <si>
    <t>Machine 15</t>
  </si>
  <si>
    <t>Operating Interest</t>
  </si>
  <si>
    <t>Taxes, Housing &amp; Insurance</t>
  </si>
  <si>
    <t>Yield</t>
  </si>
  <si>
    <t>Baseline Returns</t>
  </si>
  <si>
    <t>pennycress_oil_content</t>
  </si>
  <si>
    <t>percent of oil in pennycress seed</t>
  </si>
  <si>
    <t>(lb/acre)</t>
  </si>
  <si>
    <t>Base</t>
  </si>
  <si>
    <t>Lower</t>
  </si>
  <si>
    <t>Upper</t>
  </si>
  <si>
    <t>Bound</t>
  </si>
  <si>
    <t>https://www.agmrc.org/commodities-products/grains-oilseeds/pennycress</t>
  </si>
  <si>
    <t>Round trip miles</t>
  </si>
  <si>
    <t>Hours/load</t>
  </si>
  <si>
    <t>Assumes average highway speed of 35 mph.</t>
  </si>
  <si>
    <t>UT Extension Budget 2017</t>
  </si>
  <si>
    <t>bound</t>
  </si>
  <si>
    <t>&gt;75%</t>
  </si>
  <si>
    <t>&lt;25%</t>
  </si>
  <si>
    <t>&gt;90%</t>
  </si>
  <si>
    <t>https://revenue.support.tn.gov/hc/en-us/articles/203809459-What-qualifies-for-a-Tennessee-agricultural-exemption-</t>
  </si>
  <si>
    <t>Assumes 50 lb per bu X 800 bu= 40,000 lb.</t>
  </si>
  <si>
    <t>2019 UT Extension Crop Budget</t>
  </si>
  <si>
    <t>Remaining Value Factor 1</t>
  </si>
  <si>
    <t>Remaining Salvage Value Factor 2</t>
  </si>
  <si>
    <t>Remaining Value Factor 3</t>
  </si>
  <si>
    <t>(ASABE Agricultural Machinery Management Data 2011R2015)</t>
  </si>
  <si>
    <t>Maximum PTO HP</t>
  </si>
  <si>
    <t>Average_Machine_Age</t>
  </si>
  <si>
    <t>Fertilize</t>
  </si>
  <si>
    <t>Table 1. Harvest Operations Schedule</t>
  </si>
  <si>
    <t>(UT Extension Crop Budgets 2019)</t>
  </si>
  <si>
    <t>Assume same machine time as combine</t>
  </si>
  <si>
    <t>Notes:</t>
  </si>
  <si>
    <t>($/lb)</t>
  </si>
  <si>
    <t>Website</t>
  </si>
  <si>
    <t>Motor (diesel) fuel tax TN</t>
  </si>
  <si>
    <t>March</t>
  </si>
  <si>
    <t>pounds</t>
  </si>
  <si>
    <t>Fertilizer Spreader</t>
  </si>
  <si>
    <t>Acres per hour</t>
  </si>
  <si>
    <t>Machine 16</t>
  </si>
  <si>
    <t>Width</t>
  </si>
  <si>
    <t>Speed</t>
  </si>
  <si>
    <t>Semi-Tractor/Trailer</t>
  </si>
  <si>
    <t>Efficiency</t>
  </si>
  <si>
    <t>Sprayer, S.P,, 90` boom</t>
  </si>
  <si>
    <t>Assumed same as combine</t>
  </si>
  <si>
    <t>UAN</t>
  </si>
  <si>
    <t>p_UAN</t>
  </si>
  <si>
    <t>90 ft</t>
  </si>
  <si>
    <t>(2019 UT Extension Crop Budget)</t>
  </si>
  <si>
    <t>Burndown</t>
  </si>
  <si>
    <t>qt.</t>
  </si>
  <si>
    <t>oz.</t>
  </si>
  <si>
    <t>**Source:</t>
  </si>
  <si>
    <t>Quantity (lbs N)*</t>
  </si>
  <si>
    <t>Quantity (lbs)**</t>
  </si>
  <si>
    <t>Valor (Flumioxazin)</t>
  </si>
  <si>
    <t>Roundup (Glyphosate)</t>
  </si>
  <si>
    <t>*Source: UT Extension crop budgets (2019). Base scenario assumes no additional cost because this operation is already accounted for in soybean cost of production</t>
  </si>
  <si>
    <t>Oilseed</t>
  </si>
  <si>
    <t>GF1_rK0qDwEAEAC+AAwjACYAOQBSAGYAZwB1AIMAmAC6ALQAKgD//wAAAAAAAQQAAAAABSMsIyMwAAAAAQVZaWVsZAANT2lsc2VlZCBZaWVsZAABARAAAgABClN0YXRpc3RpY3MDAQEA/wEBAQEBAAEBAQAEAAAAAQEBAQEAAQEBAAQAAAABhwACDQAFWWllbGQAAC8BAAIAAgCgAKoAAQECAZqZmZmZmak/AABmZmZmZmbuPwAABQABAQEAAQEBAA==</t>
  </si>
  <si>
    <t>GF1_rK0qDwEAEADYAAwjACYAPwBcAHAAcQB/AI0AtADUAM4AKgD//wAAAAAAAQQAAAAACyQjLCMjMC4wMDAwAAAAARdCYXNlIFByb2ZpdCBNYXJnaW4gJC9sYgEAAQEQAAIAAQpTdGF0aXN0aWNzAwEBAP8BAQEBAQABAQEABAAAAAEBAQEBAAEBAQAEAAAAAZEAAh8AF0Jhc2UgUHJvZml0IE1hcmdpbiAkL2xiAAAvAQACAAIAvADFAAEBAgEAAAAAAAAAAAEAAAAAAADwfwEFAAEBAQABAQEA</t>
  </si>
  <si>
    <t>GF1_rK0qDwEAEADGAAwjACYAPwBTAGcAaAB2AIQAogDCALwAKgD//wAAAAAAAQQAAAAACyQjLCMjMC4wMDAwAAAAAQ5CYXNlIENvc3QgJC9sYgEAAQEQAAIAAQpTdGF0aXN0aWNzAwEBAP8BAQEBAQABAQEABAAAAAEBAQEBAAEBAQAEAAAAAYgAAhYADkJhc2UgQ29zdCAkL2xiAAAvAQACAAIAqgCzAAEBAgEAAAAAAADw/wHhehSuR+G6PwEFAAEBAQABAQEA</t>
  </si>
  <si>
    <t>Breakeven and one-way sensitivity analysis notes:</t>
  </si>
  <si>
    <t xml:space="preserve">Seed </t>
  </si>
  <si>
    <t>Establishment</t>
  </si>
  <si>
    <t>Fertilizer</t>
  </si>
  <si>
    <t>Transportation</t>
  </si>
  <si>
    <t>Soybean revenue loss</t>
  </si>
  <si>
    <t>`</t>
  </si>
  <si>
    <t>Oilseed yield</t>
  </si>
  <si>
    <t>Notes</t>
  </si>
  <si>
    <t>Table 5.  Harvest Aid/Herbicide Burndown/Residual Herbicide Equipment Operation, Ownership, and Labor Costs*</t>
  </si>
  <si>
    <t>BE_PC_Price</t>
  </si>
  <si>
    <t>Markel et al 2018</t>
  </si>
  <si>
    <t>"A harvest aid used in field pennycress could act as a burndown and potential residual herbicide for the soybean crop." Source: Bishop 2018. "The proper use of a burndown herbicide with a residual herbicide may allow for a one-pass application for both field pennycress and a soybean residual herbicide program." Source: Bishop 2018. "Combination of non-selective herbicides with a residual herbicide could allow burndown of field pennycress and residual control of weeds for soybean. Saflufenacil, glufosinate, diquat, paraquat, flumioxazin, and sulfentrazone worked well as a desiccant in the allotted time before harvest in this research" Source: Bishop 2018,</t>
  </si>
  <si>
    <t xml:space="preserve">Capital Recovery </t>
  </si>
  <si>
    <t>Pennycress Budget Summary</t>
  </si>
  <si>
    <t>Revenue ($/acre)</t>
  </si>
  <si>
    <r>
      <t xml:space="preserve">Pennycress oilseed </t>
    </r>
    <r>
      <rPr>
        <b/>
        <vertAlign val="superscript"/>
        <sz val="12"/>
        <color theme="1"/>
        <rFont val="Calibri"/>
        <family val="2"/>
        <scheme val="minor"/>
      </rPr>
      <t>1</t>
    </r>
  </si>
  <si>
    <t>lb/acre</t>
  </si>
  <si>
    <t>Expense Category</t>
  </si>
  <si>
    <t xml:space="preserve">Variable </t>
  </si>
  <si>
    <t xml:space="preserve">Total </t>
  </si>
  <si>
    <t xml:space="preserve"> (lb/acre) </t>
  </si>
  <si>
    <t xml:space="preserve">($/lb) </t>
  </si>
  <si>
    <t>Return Above Total Expenses*</t>
  </si>
  <si>
    <t>Yield (lb/acre)</t>
  </si>
  <si>
    <t>Price ($/lb)</t>
  </si>
  <si>
    <t xml:space="preserve">Breakeven Price for Selected Yield* </t>
  </si>
  <si>
    <t>Breakeven Yield for Selected Price*</t>
  </si>
  <si>
    <t>Return above total expenses ($/acre)*</t>
  </si>
  <si>
    <r>
      <t>Variable Expenses ($/acre)</t>
    </r>
    <r>
      <rPr>
        <b/>
        <vertAlign val="superscript"/>
        <sz val="12"/>
        <color theme="1"/>
        <rFont val="Calibri"/>
        <family val="2"/>
        <scheme val="minor"/>
      </rPr>
      <t xml:space="preserve"> 2</t>
    </r>
  </si>
  <si>
    <r>
      <t xml:space="preserve">Fixed Expenses ($/acre) </t>
    </r>
    <r>
      <rPr>
        <b/>
        <vertAlign val="superscript"/>
        <sz val="12"/>
        <color theme="1"/>
        <rFont val="Calibri"/>
        <family val="2"/>
        <scheme val="minor"/>
      </rPr>
      <t>2</t>
    </r>
  </si>
  <si>
    <r>
      <t xml:space="preserve">Seed </t>
    </r>
    <r>
      <rPr>
        <vertAlign val="superscript"/>
        <sz val="12"/>
        <color theme="1"/>
        <rFont val="Calibri"/>
        <family val="2"/>
        <scheme val="minor"/>
      </rPr>
      <t>3</t>
    </r>
  </si>
  <si>
    <r>
      <t xml:space="preserve">Fertilizer &amp; Lime </t>
    </r>
    <r>
      <rPr>
        <vertAlign val="superscript"/>
        <sz val="12"/>
        <color theme="1"/>
        <rFont val="Calibri"/>
        <family val="2"/>
        <scheme val="minor"/>
      </rPr>
      <t>4</t>
    </r>
  </si>
  <si>
    <r>
      <t xml:space="preserve">Chemical </t>
    </r>
    <r>
      <rPr>
        <vertAlign val="superscript"/>
        <sz val="12"/>
        <color theme="1"/>
        <rFont val="Calibri"/>
        <family val="2"/>
        <scheme val="minor"/>
      </rPr>
      <t>5</t>
    </r>
  </si>
  <si>
    <r>
      <t xml:space="preserve">Repair &amp; Maintenance </t>
    </r>
    <r>
      <rPr>
        <vertAlign val="superscript"/>
        <sz val="12"/>
        <color theme="1"/>
        <rFont val="Calibri"/>
        <family val="2"/>
        <scheme val="minor"/>
      </rPr>
      <t>6</t>
    </r>
  </si>
  <si>
    <r>
      <t xml:space="preserve">Fuel, Oil &amp; Filter </t>
    </r>
    <r>
      <rPr>
        <vertAlign val="superscript"/>
        <sz val="12"/>
        <color theme="1"/>
        <rFont val="Calibri"/>
        <family val="2"/>
        <scheme val="minor"/>
      </rPr>
      <t>6</t>
    </r>
  </si>
  <si>
    <r>
      <t xml:space="preserve">Operator Labor </t>
    </r>
    <r>
      <rPr>
        <vertAlign val="superscript"/>
        <sz val="12"/>
        <color theme="1"/>
        <rFont val="Calibri"/>
        <family val="2"/>
        <scheme val="minor"/>
      </rPr>
      <t>6</t>
    </r>
  </si>
  <si>
    <r>
      <t xml:space="preserve">Crop Insurance </t>
    </r>
    <r>
      <rPr>
        <vertAlign val="superscript"/>
        <sz val="12"/>
        <color theme="1"/>
        <rFont val="Calibri"/>
        <family val="2"/>
        <scheme val="minor"/>
      </rPr>
      <t>7</t>
    </r>
  </si>
  <si>
    <r>
      <t xml:space="preserve">Other </t>
    </r>
    <r>
      <rPr>
        <vertAlign val="superscript"/>
        <sz val="12"/>
        <color theme="1"/>
        <rFont val="Calibri"/>
        <family val="2"/>
        <scheme val="minor"/>
      </rPr>
      <t>8</t>
    </r>
  </si>
  <si>
    <r>
      <t xml:space="preserve">Operating Interest </t>
    </r>
    <r>
      <rPr>
        <vertAlign val="superscript"/>
        <sz val="12"/>
        <color theme="1"/>
        <rFont val="Calibri"/>
        <family val="2"/>
        <scheme val="minor"/>
      </rPr>
      <t>9</t>
    </r>
  </si>
  <si>
    <r>
      <t xml:space="preserve">Machinery </t>
    </r>
    <r>
      <rPr>
        <vertAlign val="superscript"/>
        <sz val="12"/>
        <color theme="1"/>
        <rFont val="Calibri"/>
        <family val="2"/>
        <scheme val="minor"/>
      </rPr>
      <t>6</t>
    </r>
  </si>
  <si>
    <r>
      <t>Other</t>
    </r>
    <r>
      <rPr>
        <vertAlign val="superscript"/>
        <sz val="12"/>
        <color theme="1"/>
        <rFont val="Calibri"/>
        <family val="2"/>
        <scheme val="minor"/>
      </rPr>
      <t xml:space="preserve"> 8</t>
    </r>
  </si>
  <si>
    <r>
      <t xml:space="preserve">Land Rental </t>
    </r>
    <r>
      <rPr>
        <vertAlign val="superscript"/>
        <sz val="12"/>
        <color theme="1"/>
        <rFont val="Calibri"/>
        <family val="2"/>
        <scheme val="minor"/>
      </rPr>
      <t>10</t>
    </r>
  </si>
  <si>
    <t>8. Additional costs may be incurred due to specialized equipment required in the on-farm handling and storage of pennycress and transportation of oilseed to the crushing facility.</t>
  </si>
  <si>
    <t xml:space="preserve">6. Equipment expenses are estimates for specified pieces of equipment that may be available to a "representative" row crop farm in Tennessee. Machinery expenses will vary dramatically by operation, financial resources, and land base. Equipment ownership, operating, and operator labor expenses are estimated using American Society of Agricultural and Biological Engineers Agricultural Machinery Management Data and procedures in the American Agricultural Economics Association Commofity Costs and Returns Estimation Handbook (see Establishment, Managment, and Harvest &amp; Transportation tabs). </t>
  </si>
  <si>
    <t>7. Crop insurance is not currently available for field pennycress and other winter oilseed crops based on discussions at the Inagural Pennycress Workshop.</t>
  </si>
  <si>
    <t xml:space="preserve">9. Operating interest for six months is charged on all purchased inputs (i.e., seed, fertilizer, fuel, maintenance and repairs, etc.) and operator labor expenses. </t>
  </si>
  <si>
    <t>Two-way sensitivity of profitability for different oilseed yields and prices*</t>
  </si>
  <si>
    <r>
      <t>Bound ranges (% of base value)</t>
    </r>
    <r>
      <rPr>
        <vertAlign val="superscript"/>
        <sz val="12"/>
        <color theme="1"/>
        <rFont val="Calibri"/>
        <family val="2"/>
        <scheme val="minor"/>
      </rPr>
      <t>a</t>
    </r>
  </si>
  <si>
    <r>
      <t>Oilseed yield (lb/acre)</t>
    </r>
    <r>
      <rPr>
        <vertAlign val="superscript"/>
        <sz val="12"/>
        <color theme="1"/>
        <rFont val="Calibri"/>
        <family val="2"/>
        <scheme val="minor"/>
      </rPr>
      <t>h</t>
    </r>
  </si>
  <si>
    <r>
      <rPr>
        <vertAlign val="superscript"/>
        <sz val="11"/>
        <color theme="1"/>
        <rFont val="Calibri"/>
        <family val="2"/>
        <scheme val="minor"/>
      </rPr>
      <t>c</t>
    </r>
    <r>
      <rPr>
        <sz val="11"/>
        <color theme="1"/>
        <rFont val="Calibri"/>
        <family val="2"/>
        <scheme val="minor"/>
      </rPr>
      <t>Pennycress is assumed to be established in September-October after corn harvest using a tractor pulling a 20-foot no-tillage drill (See Establishment tab for machinery cost calculations).</t>
    </r>
  </si>
  <si>
    <r>
      <t>i</t>
    </r>
    <r>
      <rPr>
        <sz val="11"/>
        <color theme="1"/>
        <rFont val="Calibri"/>
        <family val="2"/>
        <scheme val="minor"/>
      </rPr>
      <t>Base and lower bound assumes no soybean revenue loss due to delayed soybean planting because of pennycress harvest. Upper bound a</t>
    </r>
    <r>
      <rPr>
        <sz val="11"/>
        <color rgb="FF000000"/>
        <rFont val="Calibri"/>
        <family val="2"/>
        <scheme val="minor"/>
      </rPr>
      <t>ssumes a 28-day soybean planting delay from mid-May to Mid-June with an expected yield reduction of 8 percent or 4 bu/acre (Boyer et al. 2015</t>
    </r>
    <r>
      <rPr>
        <sz val="11"/>
        <color theme="1"/>
        <rFont val="Calibri"/>
        <family val="2"/>
        <scheme val="minor"/>
      </rPr>
      <t> </t>
    </r>
    <r>
      <rPr>
        <sz val="11"/>
        <color rgb="FF000000"/>
        <rFont val="Calibri"/>
        <family val="2"/>
        <scheme val="minor"/>
      </rPr>
      <t>). The yield loss is treated as an opportunity cost to the pennycress enterprise and is valued using a soybean price of $9.89/bu, the average for 2002/03-2016/17 with the high and low values dropped and expressed in 2019 dollars using the Implicit GDP Price Deflator (FABRI, 2018</t>
    </r>
    <r>
      <rPr>
        <sz val="11"/>
        <color theme="1"/>
        <rFont val="Calibri"/>
        <family val="2"/>
        <scheme val="minor"/>
      </rPr>
      <t> </t>
    </r>
    <r>
      <rPr>
        <sz val="11"/>
        <color rgb="FF000000"/>
        <rFont val="Calibri"/>
        <family val="2"/>
        <scheme val="minor"/>
      </rPr>
      <t xml:space="preserve">; Federal Bank of St. Louis, 2019). </t>
    </r>
  </si>
  <si>
    <t>Soybean_price</t>
  </si>
  <si>
    <t>Soybean_yield_loss</t>
  </si>
  <si>
    <t>Soybean oilseed price ($/bu)</t>
  </si>
  <si>
    <t>Soybean yield loss from delayed planting by 28 days (bu/acre)</t>
  </si>
  <si>
    <t>Boyer et al. (2016)</t>
  </si>
  <si>
    <t>11. Tornado diagram lower and upper bound values are 50% and 150% of the base budget breakeven oilseed price for each expense item in the base budget except for soybean revenue loss (See Sensitivity tab).</t>
  </si>
  <si>
    <r>
      <t xml:space="preserve">h </t>
    </r>
    <r>
      <rPr>
        <sz val="11"/>
        <color rgb="FF000000"/>
        <rFont val="Calibri"/>
        <family val="2"/>
        <scheme val="minor"/>
      </rPr>
      <t xml:space="preserve">Base pennycress oilseed yield is from Markel et al. (2018). </t>
    </r>
  </si>
  <si>
    <t>TN_Motot_Fuel_Tax</t>
  </si>
  <si>
    <r>
      <t>Burndown/dessication</t>
    </r>
    <r>
      <rPr>
        <vertAlign val="superscript"/>
        <sz val="12"/>
        <color theme="1"/>
        <rFont val="Calibri"/>
        <family val="2"/>
        <scheme val="minor"/>
      </rPr>
      <t xml:space="preserve"> 1</t>
    </r>
  </si>
  <si>
    <r>
      <t xml:space="preserve">Harvest </t>
    </r>
    <r>
      <rPr>
        <vertAlign val="superscript"/>
        <sz val="12"/>
        <rFont val="Calibri"/>
        <family val="2"/>
        <scheme val="minor"/>
      </rPr>
      <t>2</t>
    </r>
  </si>
  <si>
    <r>
      <t xml:space="preserve">Haul </t>
    </r>
    <r>
      <rPr>
        <vertAlign val="superscript"/>
        <sz val="12"/>
        <rFont val="Calibri"/>
        <family val="2"/>
        <scheme val="minor"/>
      </rPr>
      <t>2</t>
    </r>
  </si>
  <si>
    <r>
      <t xml:space="preserve">Haul </t>
    </r>
    <r>
      <rPr>
        <vertAlign val="superscript"/>
        <sz val="12"/>
        <rFont val="Calibri"/>
        <family val="2"/>
        <scheme val="minor"/>
      </rPr>
      <t>2,3</t>
    </r>
  </si>
  <si>
    <r>
      <rPr>
        <vertAlign val="superscript"/>
        <sz val="12"/>
        <color theme="1"/>
        <rFont val="Calibri"/>
        <family val="2"/>
        <scheme val="minor"/>
      </rPr>
      <t xml:space="preserve">1 </t>
    </r>
    <r>
      <rPr>
        <sz val="12"/>
        <color theme="1"/>
        <rFont val="Calibri"/>
        <family val="2"/>
        <scheme val="minor"/>
      </rPr>
      <t>Base scenario assumes no additional cost for herbicides because this operation is already accounted for in soybean cost of production</t>
    </r>
  </si>
  <si>
    <r>
      <rPr>
        <vertAlign val="superscript"/>
        <sz val="12"/>
        <color theme="1"/>
        <rFont val="Calibri"/>
        <family val="2"/>
        <scheme val="minor"/>
      </rPr>
      <t>2</t>
    </r>
    <r>
      <rPr>
        <sz val="12"/>
        <color theme="1"/>
        <rFont val="Calibri"/>
        <family val="2"/>
        <scheme val="minor"/>
      </rPr>
      <t xml:space="preserve"> Grain cart and semi-tractor and trailer machine and labor hours per acre acre based on combine machine hours per acre. The cost transporting oilseed from the field to the crushing facility using the semi-truck/trailor is not included in the budget.</t>
    </r>
  </si>
  <si>
    <r>
      <rPr>
        <vertAlign val="superscript"/>
        <sz val="12"/>
        <color theme="1"/>
        <rFont val="Calibri"/>
        <family val="2"/>
        <scheme val="minor"/>
      </rPr>
      <t xml:space="preserve">3 </t>
    </r>
    <r>
      <rPr>
        <sz val="12"/>
        <color theme="1"/>
        <rFont val="Calibri"/>
        <family val="2"/>
        <scheme val="minor"/>
      </rPr>
      <t>Field only portion of Semi-Tractor &amp; Trailer operating, ownership, and labor costs. Does not include transport from field to crush facility.</t>
    </r>
  </si>
  <si>
    <t>Input</t>
  </si>
  <si>
    <t>spray_90_HPA</t>
  </si>
  <si>
    <t>Urea Dry Fertilizer</t>
  </si>
  <si>
    <t xml:space="preserve">UAN Liquid Fertilizer </t>
  </si>
  <si>
    <t>Breakeven oilseed price @12.5% MIRR</t>
  </si>
  <si>
    <t>September-October</t>
  </si>
  <si>
    <t>Disk</t>
  </si>
  <si>
    <t>2020 UT Extension Crop Budget</t>
  </si>
  <si>
    <t xml:space="preserve">Rotary Mower       </t>
  </si>
  <si>
    <t>rotary_mow_HPA</t>
  </si>
  <si>
    <t>Rotary mower hours per acre</t>
  </si>
  <si>
    <t>Chop corn stalks</t>
  </si>
  <si>
    <t>Not updated</t>
  </si>
  <si>
    <t>Tandom Disk</t>
  </si>
  <si>
    <t>Machine 17</t>
  </si>
  <si>
    <t>Tandem Disk</t>
  </si>
  <si>
    <t>Farm Resource Regions</t>
  </si>
  <si>
    <t>Location of Budget</t>
  </si>
  <si>
    <t>Representative POLYSYS Region</t>
  </si>
  <si>
    <t>Truck Labor</t>
  </si>
  <si>
    <t>northern Cresent</t>
  </si>
  <si>
    <t>Northeast</t>
  </si>
  <si>
    <t>Pennsylvainia</t>
  </si>
  <si>
    <t>industrial-hemp-grain-production-budget.pdf</t>
  </si>
  <si>
    <t>lakeStates</t>
  </si>
  <si>
    <t>Wisconsin</t>
  </si>
  <si>
    <t>Budgets and Benchmarks – Farm Management (wisc.edu)</t>
  </si>
  <si>
    <t>Southern Seaboard</t>
  </si>
  <si>
    <t>Alabama to Virginia</t>
  </si>
  <si>
    <t>Georgia</t>
  </si>
  <si>
    <t>Budgets - Extension | Agricultural &amp; Applied Economics (uga.edu)</t>
  </si>
  <si>
    <t>East Texas, Arkansas, Louisiana</t>
  </si>
  <si>
    <t>Texas</t>
  </si>
  <si>
    <t>2021 District 5 Texas Crop and Livestock Budgets | Extension Agricultural Economics (tamu.edu)</t>
  </si>
  <si>
    <t>Spreadsheet budgets, 2021 District 5 Texas Crop ad Livestock Budgets</t>
  </si>
  <si>
    <t>Eastern Uplands</t>
  </si>
  <si>
    <t>Appalachia</t>
  </si>
  <si>
    <t>Tennessee</t>
  </si>
  <si>
    <t>Budgets | Department of Agricultural and Resource Economics (tennessee.edu)</t>
  </si>
  <si>
    <t>Smith, Bowling, and Morris, Field Crop Budgets for 2020 accessed on 1.12.21 at https://extension.tennessee.edu/publications/Documents/D33.pdf</t>
  </si>
  <si>
    <t>Mississippi Portal</t>
  </si>
  <si>
    <t>Lower Mississippi</t>
  </si>
  <si>
    <t>Arkansas</t>
  </si>
  <si>
    <t>T6_CornConv_NoIrr_2021.pdf (uaex.edu)</t>
  </si>
  <si>
    <t>Arkansas Field Crop Enterprise Budgets, 2021 Corn Enterbrise Budget, Conventional, No Irrigation</t>
  </si>
  <si>
    <t>Heartland</t>
  </si>
  <si>
    <t>Corn Belt</t>
  </si>
  <si>
    <t>Illinois</t>
  </si>
  <si>
    <t>Planting Decision Model • farmdoc (illinois.edu)</t>
  </si>
  <si>
    <t xml:space="preserve">Department of Agricultural and Consumer Economics, farmdoc, 2020, Planting Decision Model, accessed on 1/12/21 at https://farmdoc.illinois.edu/fast-tools/planting-decision-model </t>
  </si>
  <si>
    <t>Prairie Gateway</t>
  </si>
  <si>
    <t>Texas, Oklahoma, Arkansas, Kansas</t>
  </si>
  <si>
    <t>Kansas</t>
  </si>
  <si>
    <t>Corn Cost-Return Budget in South Central Kansas_Average Yield_Oct-31-2019.pdf (agmanager.info)</t>
  </si>
  <si>
    <t>Gregg Ibendahl, Dan O'Brien, and Douglas Shoup, 2019, Corn Cost-Return Budget in South Central Kansas, accessed at 1.12.21 at https://www.agmanager.info/sites/default/files/wysiwyg/Corn%20Cost-Return%20Budget%20in%20South%20Central%20Kansas_Average%20Yield_Oct-31-2019.pdf</t>
  </si>
  <si>
    <t>Northern Great Plains</t>
  </si>
  <si>
    <t>Nebraska, South and North Dakota</t>
  </si>
  <si>
    <t>South Dakota</t>
  </si>
  <si>
    <t>Crop Budgets (sdstate.edu)</t>
  </si>
  <si>
    <t>Davis, Jack, 2020, Crop Production Budgets, South Dakota Extension Service, accessed on 1/12/21 at https://extension.sdstate.edu/crop-budgets</t>
  </si>
  <si>
    <t>Basin and Range</t>
  </si>
  <si>
    <t>Desert West</t>
  </si>
  <si>
    <t>Utah</t>
  </si>
  <si>
    <t>Crop Budgets | Idaho AgBiz | University of Idaho (uidaho.edu)</t>
  </si>
  <si>
    <t>Eborn, Ben, 2019, Eastern-dryland-crop-budgets-2019, accessed on 1/12/21 at https://www.uidaho.edu/cals/idaho-agbiz/crop-budgets</t>
  </si>
  <si>
    <t>Fruitful Rim</t>
  </si>
  <si>
    <t>Southwest</t>
  </si>
  <si>
    <t>California</t>
  </si>
  <si>
    <t>Current Studies - UC Davis Cost Studies</t>
  </si>
  <si>
    <t>Stewart, Murdock, and Sumner, 2020, Current Cost and Return Studies, accessed on 1/12/21 at https://coststudies.ucdavis.edu/en/current/</t>
  </si>
  <si>
    <t>northwest</t>
  </si>
  <si>
    <t>Washington</t>
  </si>
  <si>
    <t>Painter, Kathleen, 2016, 2016 Enterprise budgets: District 1 Wheat Rotations Under Conventional Tillage accessed on 1.13.21 at https://www.uidaho.edu/cals/idaho-agbiz/crop-budgets</t>
  </si>
  <si>
    <t>Florida</t>
  </si>
  <si>
    <t>Markel et al 2018; Trejo-Pech et al., 2019</t>
  </si>
  <si>
    <t>AgMRC Pennycress Budget</t>
  </si>
  <si>
    <t xml:space="preserve">50 miles one way×2/35 mph average speed. Fan et al., 2013; Turhollow and Epplin (2012) </t>
  </si>
  <si>
    <t>S</t>
  </si>
  <si>
    <t>Sources</t>
  </si>
  <si>
    <t>Table 2. Fertilizer &amp; Lime Materials*</t>
  </si>
  <si>
    <t>Estimated using Trejo-Pech et al., 2019 Crushing facility model with oil content of 32.9% and modifiede internal rate of return of 12.5%.</t>
  </si>
  <si>
    <t>TN prices National Analysis spreadsheet tab</t>
  </si>
  <si>
    <t>ASSUMPTIONS</t>
  </si>
  <si>
    <t>Total Fixed Expenses*</t>
  </si>
  <si>
    <t>Total Variable &amp; Fixed Expenses*</t>
  </si>
  <si>
    <t>Notes: A broadcast seeding with light application would likely cost around $10 per acre. Cost of aerial seeding is competitive with the cost of drilling or broadcasting the seed on the ground. Both aerial applicators quoted a range of $8.50 to $12 per acre.</t>
  </si>
  <si>
    <t>Trejo-Pech et al. 2019</t>
  </si>
  <si>
    <t>Fuel Cost</t>
  </si>
  <si>
    <t>Farm Labor Cost</t>
  </si>
  <si>
    <t>Disk corn Stalks</t>
  </si>
  <si>
    <t>Difference*</t>
  </si>
  <si>
    <t>*Sorted from smallest to largest difference.</t>
  </si>
  <si>
    <t>Table 1. Selected regional input prices based on representative POLYSYS Regions</t>
  </si>
  <si>
    <t>Table 3. Chemical Materials</t>
  </si>
  <si>
    <t>Sensitivity</t>
  </si>
  <si>
    <t>Management</t>
  </si>
  <si>
    <t>Harvest &amp; Transportation</t>
  </si>
  <si>
    <t>Assumptions</t>
  </si>
  <si>
    <t>National Analysis</t>
  </si>
  <si>
    <t>Farm Machinery Cost Calculation</t>
  </si>
  <si>
    <t xml:space="preserve">Farm Machinery  </t>
  </si>
  <si>
    <t>Range of values used in conducting the sensitivity analysis, tornado diagram, breakeven calculations</t>
  </si>
  <si>
    <t>Operations, timing, and cost of establishing pennycress</t>
  </si>
  <si>
    <t>Operations, timing, and cost of maintaining an established field of pennycress</t>
  </si>
  <si>
    <t>Operations, timing, and cost of harvesting an established field of pennycress and transporting the crop to a biorefienry or crushing facility.</t>
  </si>
  <si>
    <t xml:space="preserve">Listing of primary assumptions used in the analysis.  </t>
  </si>
  <si>
    <t>Prices (2018$) for different regions of the country for labor, fertilizers, and fuel</t>
  </si>
  <si>
    <t>Equipment characteristics required by the budget</t>
  </si>
  <si>
    <t>References:</t>
  </si>
  <si>
    <t>There are 10 tabs:</t>
  </si>
  <si>
    <t>Read Me</t>
  </si>
  <si>
    <t>Description of the spreadsheet</t>
  </si>
  <si>
    <t>Contains the budget, two way profitability tables, and summary of a sensitivity analysis</t>
  </si>
  <si>
    <r>
      <t>P</t>
    </r>
    <r>
      <rPr>
        <vertAlign val="subscript"/>
        <sz val="12"/>
        <color theme="1"/>
        <rFont val="Calibri"/>
        <family val="2"/>
        <scheme val="minor"/>
      </rPr>
      <t>2</t>
    </r>
    <r>
      <rPr>
        <sz val="12"/>
        <color theme="1"/>
        <rFont val="Calibri"/>
        <family val="2"/>
        <scheme val="minor"/>
      </rPr>
      <t>O</t>
    </r>
    <r>
      <rPr>
        <vertAlign val="subscript"/>
        <sz val="12"/>
        <color theme="1"/>
        <rFont val="Calibri"/>
        <family val="2"/>
        <scheme val="minor"/>
      </rPr>
      <t>5</t>
    </r>
  </si>
  <si>
    <r>
      <t>K</t>
    </r>
    <r>
      <rPr>
        <vertAlign val="subscript"/>
        <sz val="12"/>
        <color theme="1"/>
        <rFont val="Calibri"/>
        <family val="2"/>
        <scheme val="minor"/>
      </rPr>
      <t>2</t>
    </r>
    <r>
      <rPr>
        <sz val="12"/>
        <color theme="1"/>
        <rFont val="Calibri"/>
        <family val="2"/>
        <scheme val="minor"/>
      </rPr>
      <t>0</t>
    </r>
  </si>
  <si>
    <t>Width (ft)</t>
  </si>
  <si>
    <t>Note: Assume useful life of grain head is the same as the combine, i.e., both are savaged or traded when the combine is replaced.</t>
  </si>
  <si>
    <t>Blacked out cells indicate equipment not used for the oilseed budgeting analysis and are not updated.</t>
  </si>
  <si>
    <t>Grain Cart 750 bu</t>
  </si>
  <si>
    <t xml:space="preserve">Combine S.P. W/Cab, Air, No Head, 8-Row (9600) </t>
  </si>
  <si>
    <t xml:space="preserve">NT Grain Drill (20 ft)  </t>
  </si>
  <si>
    <t>Table 3. Transport of oilseed from Farm Field to Crushing Facility</t>
  </si>
  <si>
    <t>Budget Summary</t>
  </si>
  <si>
    <t>Department of Agricultural &amp; Resource Economics</t>
  </si>
  <si>
    <t>Return Above Expenses</t>
  </si>
  <si>
    <r>
      <t>Seed expense ($/acre)</t>
    </r>
    <r>
      <rPr>
        <vertAlign val="superscript"/>
        <sz val="12"/>
        <color theme="1"/>
        <rFont val="Calibri"/>
        <family val="2"/>
        <scheme val="minor"/>
      </rPr>
      <t>b</t>
    </r>
  </si>
  <si>
    <r>
      <t>Harvest expenses ($/acre)</t>
    </r>
    <r>
      <rPr>
        <vertAlign val="superscript"/>
        <sz val="12"/>
        <color theme="1"/>
        <rFont val="Calibri"/>
        <family val="2"/>
        <scheme val="minor"/>
      </rPr>
      <t>f</t>
    </r>
  </si>
  <si>
    <r>
      <t>Fertilizer expenses ($/acre)</t>
    </r>
    <r>
      <rPr>
        <vertAlign val="superscript"/>
        <sz val="12"/>
        <color theme="1"/>
        <rFont val="Calibri"/>
        <family val="2"/>
        <scheme val="minor"/>
      </rPr>
      <t>d</t>
    </r>
  </si>
  <si>
    <r>
      <t>Establishment expenses ($/acre)</t>
    </r>
    <r>
      <rPr>
        <vertAlign val="superscript"/>
        <sz val="12"/>
        <color theme="1"/>
        <rFont val="Calibri"/>
        <family val="2"/>
        <scheme val="minor"/>
      </rPr>
      <t>c</t>
    </r>
  </si>
  <si>
    <r>
      <t>Herbicide expenses ($/acre)</t>
    </r>
    <r>
      <rPr>
        <vertAlign val="superscript"/>
        <sz val="12"/>
        <color theme="1"/>
        <rFont val="Calibri"/>
        <family val="2"/>
        <scheme val="minor"/>
      </rPr>
      <t>e</t>
    </r>
  </si>
  <si>
    <r>
      <t>Transportation expenses ($/acre)</t>
    </r>
    <r>
      <rPr>
        <vertAlign val="superscript"/>
        <sz val="12"/>
        <color theme="1"/>
        <rFont val="Calibri"/>
        <family val="2"/>
        <scheme val="minor"/>
      </rPr>
      <t>g</t>
    </r>
  </si>
  <si>
    <t xml:space="preserve">    Without transpotation expenses ($/acre)</t>
  </si>
  <si>
    <r>
      <t>Soybean revenue loss ($/acre)</t>
    </r>
    <r>
      <rPr>
        <vertAlign val="superscript"/>
        <sz val="12"/>
        <color theme="1"/>
        <rFont val="Calibri"/>
        <family val="2"/>
        <scheme val="minor"/>
      </rPr>
      <t>i</t>
    </r>
  </si>
  <si>
    <t>Total expenses less transportation ($ acre)</t>
  </si>
  <si>
    <t>Total expenses with transportation ($ acre)</t>
  </si>
  <si>
    <t>Breakeven oilseed yield (lb/acre) net return=0</t>
  </si>
  <si>
    <t>Table 3. Tornado diagram data (Cents/lb)</t>
  </si>
  <si>
    <t>Table 2. Breakeven calculations ($/lb)</t>
  </si>
  <si>
    <t>Breakeven oilseed price ($/lb) net return=0</t>
  </si>
  <si>
    <t>Breakeven yield @ 0.108 $/lb</t>
  </si>
  <si>
    <r>
      <rPr>
        <vertAlign val="superscript"/>
        <sz val="11"/>
        <color theme="1"/>
        <rFont val="Calibri"/>
        <family val="2"/>
        <scheme val="minor"/>
      </rPr>
      <t>b</t>
    </r>
    <r>
      <rPr>
        <sz val="11"/>
        <color theme="1"/>
        <rFont val="Calibri"/>
        <family val="2"/>
        <scheme val="minor"/>
      </rPr>
      <t xml:space="preserve"> Base seeding rate is 5 lb/acre (Markel et al. 2018). A projected seed price of $2.50/lb is used to calculate seed costs (AgMRC 2019).</t>
    </r>
  </si>
  <si>
    <r>
      <rPr>
        <vertAlign val="superscript"/>
        <sz val="11"/>
        <color theme="1"/>
        <rFont val="Calibri"/>
        <family val="2"/>
        <scheme val="minor"/>
      </rPr>
      <t>d</t>
    </r>
    <r>
      <rPr>
        <sz val="11"/>
        <color theme="1"/>
        <rFont val="Calibri"/>
        <family val="2"/>
        <scheme val="minor"/>
      </rPr>
      <t xml:space="preserve">Base nitrogen (N) rate is 50 pounds of N/acre applied to the stand in March (See Management tab for machinery cost calculations). Fertilizer material cost is from UT Extension Budgets (See National Analysis tab). </t>
    </r>
  </si>
  <si>
    <r>
      <t>f</t>
    </r>
    <r>
      <rPr>
        <sz val="11"/>
        <color theme="1"/>
        <rFont val="Calibri"/>
        <family val="2"/>
        <scheme val="minor"/>
      </rPr>
      <t xml:space="preserve"> Pennycress is assumed to be harvested in May-June with a 30 foot cutter grain head, tractor, and grain cart (See the Harvest &amp; Transportation tab for machinery cost calculations).</t>
    </r>
  </si>
  <si>
    <t xml:space="preserve">*Does not include costs of transporting oilseed from the field to the crushing facility. </t>
  </si>
  <si>
    <t>See Harvest &amp; Transportation and Sensitivity tab for transportation costs.</t>
  </si>
  <si>
    <t>Budget Summary: A1:G28</t>
  </si>
  <si>
    <t>Breakeven Prices: A30:C44</t>
  </si>
  <si>
    <t>Breakeven Yields: E30:G44</t>
  </si>
  <si>
    <t>Price-Yield Sensitivity: A46:G60</t>
  </si>
  <si>
    <t>Tornado Diagram: A62:G77</t>
  </si>
  <si>
    <t>Notes: A79:I91</t>
  </si>
  <si>
    <r>
      <t>One-way sensitivity analysis of effects of oilseed yields, production costs, and transportation costs on breakeven (net return=$0) oilseed prices for farmers to produce and transport oilseed feedstock from the field to the crushing facility</t>
    </r>
    <r>
      <rPr>
        <b/>
        <vertAlign val="superscript"/>
        <sz val="12"/>
        <color rgb="FF000000"/>
        <rFont val="Calibri"/>
        <family val="2"/>
        <scheme val="minor"/>
      </rPr>
      <t>11</t>
    </r>
  </si>
  <si>
    <t>Table 1. One-way sensitivity analysis of effects of oilseed yields, production costs, and transportation costs on breakeven (net return=$0) oilseed prices for farmers to produce and transport oilseed feedstock from the field to the crushing facility</t>
  </si>
  <si>
    <t>Table 2. Establishment Seed Materials Costs</t>
  </si>
  <si>
    <t>Table 3. Drilled Establishment Operating, Ownership, and Labor Costs</t>
  </si>
  <si>
    <t>Table 5. Alternative Cost for Aerial Establishment and Fertilization Operations Schedule</t>
  </si>
  <si>
    <t>Table 1. Drilled Establishment Operations Schedule</t>
  </si>
  <si>
    <t>Table 1. Oilseed Annual Management Operations Schedule</t>
  </si>
  <si>
    <t>Hours/acre</t>
  </si>
  <si>
    <t>Table 2. Harvest Equipment Operation, Ownership, and Labor Costs ($/acre)</t>
  </si>
  <si>
    <t>Table 4. Harvest Aid/Herbicide Burndown/Residual Herbicide Application ($/acre)</t>
  </si>
  <si>
    <t>Price ($/acre)</t>
  </si>
  <si>
    <t>Total ($/acre)</t>
  </si>
  <si>
    <t xml:space="preserve">10. The opportunity cost of land is assumed to be zero given that pennycress is a winter oilseed crop that does not displace existing corn and soybean production (See Sensitivity tab). </t>
  </si>
  <si>
    <t>1. The farm-level pennycress oilseed price was estimated using the oilseed crushing facility model described in Trejo Pech et al. (2019).The price of $0.108/lb is the estimated breakeven price that an oilseed crushing facility could pay for pennycress oilseed with a 32.9% average oil content and achieve a modified internal rate of return (MIRR) of 12.5% on the investment in the facility.  Pennycress oilseed yield is from Markel et al. (2018).</t>
  </si>
  <si>
    <t>lb/bushel</t>
  </si>
  <si>
    <t>Diesel Fuel ($/gal)</t>
  </si>
  <si>
    <t>Establishment &amp; Management Input Price &amp; Quantity</t>
  </si>
  <si>
    <t>$/hour</t>
  </si>
  <si>
    <t>$/load</t>
  </si>
  <si>
    <t>lb/load</t>
  </si>
  <si>
    <r>
      <t xml:space="preserve">Figure 1. </t>
    </r>
    <r>
      <rPr>
        <b/>
        <sz val="12"/>
        <color rgb="FF000000"/>
        <rFont val="Calibri"/>
        <family val="2"/>
        <scheme val="minor"/>
      </rPr>
      <t>One-way sensitivity analysis of effects of oilseed yields, production costs, and transportation costs on breakeven (net return=$0) oilseed prices for farmers to produce and transport oilseed feedstock from the field to the crushing facility</t>
    </r>
  </si>
  <si>
    <r>
      <rPr>
        <vertAlign val="superscript"/>
        <sz val="11"/>
        <color theme="1"/>
        <rFont val="Calibri"/>
        <family val="2"/>
        <scheme val="minor"/>
      </rPr>
      <t>a</t>
    </r>
    <r>
      <rPr>
        <sz val="11"/>
        <color theme="1"/>
        <rFont val="Calibri"/>
        <family val="2"/>
        <scheme val="minor"/>
      </rPr>
      <t xml:space="preserve"> Percentage changes below and above the base value for all items except soybean revenue loss </t>
    </r>
    <r>
      <rPr>
        <sz val="11"/>
        <color rgb="FFFF0000"/>
        <rFont val="Calibri"/>
        <family val="2"/>
        <scheme val="minor"/>
      </rPr>
      <t>and transportation</t>
    </r>
    <r>
      <rPr>
        <sz val="11"/>
        <color theme="1"/>
        <rFont val="Calibri"/>
        <family val="2"/>
        <scheme val="minor"/>
      </rPr>
      <t>.</t>
    </r>
  </si>
  <si>
    <t>¢</t>
  </si>
  <si>
    <t>Table 4. Maintenance Operating, Ownership, and Labor Costs ($/acre)</t>
  </si>
  <si>
    <t>See footnote 1 in Budget Summary tab.</t>
  </si>
  <si>
    <t xml:space="preserve">    With oilseed transportation expenses ($/acre)</t>
  </si>
  <si>
    <t xml:space="preserve">*Source: Markel et al. (2019) and AGMRC.  </t>
  </si>
  <si>
    <t>AgMRC Pennycress Fertilizer Assumptions</t>
  </si>
  <si>
    <t>Note: Assumes medium or high test P &amp; K soil.  If added P &amp; K is required, it is applied with the previous corn crop to account for the added nutrient demand with pennycress production.</t>
  </si>
  <si>
    <t>5. No other field operations to apply herbicides or insecticides are assumed between planting and harvest  Retrived from: http://www.growpennycress.com/farming.html.</t>
  </si>
  <si>
    <r>
      <t xml:space="preserve">4.  Fertilizer price is from UT Extension Budget (See National Analysis and Mangement tabs). </t>
    </r>
    <r>
      <rPr>
        <sz val="12"/>
        <color rgb="FFFF0000"/>
        <rFont val="Calibri"/>
        <family val="2"/>
        <scheme val="minor"/>
      </rPr>
      <t>Fertilizer needs varies by location based on soil fertility. This budget assumes a nitrogen (N) fertilizer rate of 50 lb/acre (Markel et al.,2018). The budget also assumes a medium or high test P &amp; K soil.  If added P &amp; K is required, it is applied with the previous corn crop to account for the added nutrient demand with pennycress production</t>
    </r>
    <r>
      <rPr>
        <sz val="12"/>
        <color theme="1"/>
        <rFont val="Calibri"/>
        <family val="2"/>
        <scheme val="minor"/>
      </rPr>
      <t xml:space="preserve">. See Management tab. </t>
    </r>
  </si>
  <si>
    <r>
      <rPr>
        <vertAlign val="superscript"/>
        <sz val="11"/>
        <color theme="1"/>
        <rFont val="Calibri"/>
        <family val="2"/>
        <scheme val="minor"/>
      </rPr>
      <t>e</t>
    </r>
    <r>
      <rPr>
        <sz val="11"/>
        <color theme="1"/>
        <rFont val="Calibri"/>
        <family val="2"/>
        <scheme val="minor"/>
      </rPr>
      <t>A burn-down application is a common practice in no-tillage and therefore no additional herbicide cost is allocated to the pennycress enterprise if used as a harvest aid for the crop before</t>
    </r>
    <r>
      <rPr>
        <sz val="11"/>
        <color rgb="FFFF0000"/>
        <rFont val="Calibri"/>
        <family val="2"/>
        <scheme val="minor"/>
      </rPr>
      <t xml:space="preserve"> pennycress</t>
    </r>
    <r>
      <rPr>
        <sz val="11"/>
        <color theme="1"/>
        <rFont val="Calibri"/>
        <family val="2"/>
        <scheme val="minor"/>
      </rPr>
      <t xml:space="preserve"> harvest.</t>
    </r>
    <r>
      <rPr>
        <sz val="11"/>
        <color rgb="FFFF0000"/>
        <rFont val="Calibri"/>
        <family val="2"/>
        <scheme val="minor"/>
      </rPr>
      <t xml:space="preserve"> No other field operations to apply herbicides or insecticides are assumed between planting and harvest.</t>
    </r>
  </si>
  <si>
    <r>
      <t>Equi</t>
    </r>
    <r>
      <rPr>
        <sz val="11"/>
        <color rgb="FFFF0000"/>
        <rFont val="Calibri"/>
        <family val="2"/>
        <scheme val="minor"/>
      </rPr>
      <t>p</t>
    </r>
    <r>
      <rPr>
        <sz val="11"/>
        <color theme="1"/>
        <rFont val="Calibri"/>
        <family val="2"/>
        <scheme val="minor"/>
      </rPr>
      <t>ment operation and ownership cost calculations</t>
    </r>
  </si>
  <si>
    <t xml:space="preserve"> ($/gal)</t>
  </si>
  <si>
    <t xml:space="preserve"> ($/hr)</t>
  </si>
  <si>
    <t xml:space="preserve"> ($/lb)</t>
  </si>
  <si>
    <r>
      <t xml:space="preserve"> ($ lb</t>
    </r>
    <r>
      <rPr>
        <vertAlign val="superscript"/>
        <sz val="11"/>
        <color rgb="FFFF0000"/>
        <rFont val="Calibri"/>
        <family val="2"/>
        <scheme val="minor"/>
      </rPr>
      <t>-1</t>
    </r>
    <r>
      <rPr>
        <sz val="11"/>
        <color rgb="FFFF0000"/>
        <rFont val="Calibri"/>
        <family val="2"/>
        <scheme val="minor"/>
      </rPr>
      <t>)</t>
    </r>
  </si>
  <si>
    <t>English, B. C., E. L. Markel, R. J. Menard, and C. M. Hellwinckel.  2017. Economic Impacts of Producing Renewable Aviation Fuel from Cover Crops: A Case Study Using Pennycress as the Feedstock. Expert Opinion of Environmental Biology, 6:4. (DOI: 10.4172/2325-9655-C1-017)</t>
  </si>
  <si>
    <t>Markel, E, B. C. English, C. M. Hellwinckel, and R. J. Menard.  2018.  Potential for Pennycress to Support a Renewable Jet Fuel Industry.  Ecology, Pollution and Environmental Science, SciEnvironm 1:121.</t>
  </si>
  <si>
    <r>
      <t xml:space="preserve">This pennycress budget model is the work of numerous individuals including Jim Larson, Evan Markel, Jamey Menard, </t>
    </r>
    <r>
      <rPr>
        <sz val="11"/>
        <color rgb="FFFF0000"/>
        <rFont val="Calibri"/>
        <family val="2"/>
        <scheme val="minor"/>
      </rPr>
      <t>Umama Rahman</t>
    </r>
    <r>
      <rPr>
        <sz val="11"/>
        <color theme="1"/>
        <rFont val="Calibri"/>
        <family val="2"/>
        <scheme val="minor"/>
      </rPr>
      <t>, Alan Robertson, and Burton English. The budget has been under development since 2016 and different versions have used in several winter oilseed crop projects. References are included below.</t>
    </r>
  </si>
  <si>
    <t>Agricultural Marketing Resource Center (AgMRC). 2018. Pennycress.  (https://www.agmrc.org/commodities-products/grains-oilseeds/pennycress)</t>
  </si>
  <si>
    <r>
      <t>3. Seed cost of $2.50/lb is from a seed price projection provided by the AgMRC (201</t>
    </r>
    <r>
      <rPr>
        <sz val="12"/>
        <color rgb="FFFF0000"/>
        <rFont val="Calibri"/>
        <family val="2"/>
        <scheme val="minor"/>
      </rPr>
      <t>8</t>
    </r>
    <r>
      <rPr>
        <sz val="12"/>
        <color theme="1"/>
        <rFont val="Calibri"/>
        <family val="2"/>
        <scheme val="minor"/>
      </rPr>
      <t>). Seeding rate is from Markel et al. (2018). See Establishment tab.</t>
    </r>
  </si>
  <si>
    <r>
      <t>Trejo-Pech, C., J. A. Larson, B. C. English, and T. E. Yu. 2019. Cost and Profitability Analysis of a Prospective Pennycress to Sustainable Aviation Fuel Supply Chain in Southern USA.  Energies, 12, no. 16: 3055. (</t>
    </r>
    <r>
      <rPr>
        <sz val="12"/>
        <color rgb="FFFF0000"/>
        <rFont val="Calibri"/>
        <family val="2"/>
        <scheme val="minor"/>
      </rPr>
      <t>DOI: 10.3390/en12163055)</t>
    </r>
  </si>
  <si>
    <r>
      <t xml:space="preserve">2. Field operations assumed in the budget for establishment, management, and harvest of pennycress in a two-year no-tillage corn-pennycress-soybean cropping sequence are as follows. Pennycress is established after corn harvest in September-October of the first year of the sequence using a tractor and no-tillage grain drill to plant the stand (Establishment tab). Nitrogen fertilizer is applied to the stand as </t>
    </r>
    <r>
      <rPr>
        <sz val="12"/>
        <color rgb="FFFF0000"/>
        <rFont val="Calibri"/>
        <family val="2"/>
        <scheme val="minor"/>
      </rPr>
      <t>u</t>
    </r>
    <r>
      <rPr>
        <sz val="12"/>
        <color theme="1"/>
        <rFont val="Calibri"/>
        <family val="2"/>
        <scheme val="minor"/>
      </rPr>
      <t>rea in March of the second year (Management tab). Pennycress is harvested in May-June of the second year using a self-propelled combine with a 30-foot cutter grain-head, tractor pulling a grain cart, and a semi-tractor and grain trailer (Markel et al., 2018; see Harvest &amp; Transportation tab). Soybeans are planted as a double-crop after pennycress harvest to complete the two-year cropping sequence.</t>
    </r>
  </si>
  <si>
    <r>
      <t xml:space="preserve">g </t>
    </r>
    <r>
      <rPr>
        <sz val="11"/>
        <color theme="1"/>
        <rFont val="Calibri"/>
        <family val="2"/>
        <scheme val="minor"/>
      </rPr>
      <t xml:space="preserve">Base mileage is a 100 mile round trip from farm to the crush facility (Fan et al. 2013).  Average semi-truck and trailer speed is 35 miles/hour (Turhollow and Epplin 2012 ) for a semi-truck pulling a grain trailer (800 bushels or 40,000 pounds per load), and driver. </t>
    </r>
    <r>
      <rPr>
        <sz val="11"/>
        <color rgb="FFFF0000"/>
        <rFont val="Calibri"/>
        <family val="2"/>
        <scheme val="minor"/>
      </rPr>
      <t>See the Harvest &amp; Transportation tab cost calculations for the base, lower bound, and upper bound values.</t>
    </r>
  </si>
  <si>
    <r>
      <t>T</t>
    </r>
    <r>
      <rPr>
        <sz val="12"/>
        <color rgb="FF404040"/>
        <rFont val="Times New Roman"/>
        <family val="1"/>
      </rPr>
      <t xml:space="preserve">he pennycress budget worksheet is an interactive computerized decision aid designed to help researchers examine the costs of growing and harvesting Carinata as a cover crop between two row crops.  This carinata budget model is the work of numerous individuals including James A. Larson, Evan Markel, Jamey Menard, Umama Rahman, Alan Robertson, and Burton English. The budget has been under development since 2018 and different versions have used in several winter oilseed crop projects. </t>
    </r>
  </si>
  <si>
    <r>
      <t xml:space="preserve">This software was developed by personnel from the Agricultural and Resource Economics Production Economics Analysis Group (PEAG) and the Bio-Based Energy Analysis Group (BEAG).  Funds that supported the development of this budget came from the Federal Aviation Administration under </t>
    </r>
    <r>
      <rPr>
        <sz val="12"/>
        <color rgb="FF000000"/>
        <rFont val="Times New Roman"/>
        <family val="1"/>
      </rPr>
      <t>FAA Award Number: 13-C-AJFEUTENN-Amd 13 and from United States Department of Agriculture under Hatch Awards Accession No. 1024362 and TEN00574 led by Kim Jensen and Accession No. 1020537 and Project No. TEN00551 led by Carlos Trejo-Pech.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</si>
</sst>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
    <numFmt numFmtId="167" formatCode="0.000"/>
    <numFmt numFmtId="168" formatCode="_(* #,##0_);_(* \(#,##0\);_(* &quot;-&quot;??_);_(@_)"/>
    <numFmt numFmtId="169" formatCode="_(&quot;$&quot;* #,##0_);_(&quot;$&quot;* \(#,##0\);_(&quot;$&quot;* &quot;-&quot;??_);_(@_)"/>
    <numFmt numFmtId="170" formatCode="&quot;$&quot;#,##0.000"/>
    <numFmt numFmtId="171" formatCode="0.0"/>
    <numFmt numFmtId="172" formatCode="#,##0.0000"/>
    <numFmt numFmtId="173" formatCode="0.00000"/>
    <numFmt numFmtId="174" formatCode="#,##0.000000000_);[Red]\(#,##0.000000000\)"/>
    <numFmt numFmtId="175" formatCode="#,##0.000"/>
    <numFmt numFmtId="176" formatCode="0.0%"/>
    <numFmt numFmtId="177" formatCode="&quot;$&quot;#,##0.000_);\(&quot;$&quot;#,##0.000\)"/>
  </numFmts>
  <fonts count="87" x14ac:knownFonts="1">
    <font>
      <sz val="11"/>
      <color theme="1"/>
      <name val="Calibri"/>
      <family val="2"/>
      <scheme val="minor"/>
    </font>
    <font>
      <b/>
      <sz val="10"/>
      <name val="Arial"/>
      <family val="2"/>
    </font>
    <font>
      <sz val="10"/>
      <name val="Arial"/>
      <family val="2"/>
    </font>
    <font>
      <sz val="10"/>
      <name val="Arial"/>
      <family val="2"/>
    </font>
    <font>
      <sz val="11"/>
      <color theme="1"/>
      <name val="Calibri"/>
      <family val="2"/>
      <scheme val="minor"/>
    </font>
    <font>
      <u/>
      <sz val="11"/>
      <color theme="10"/>
      <name val="Calibri"/>
      <family val="2"/>
      <scheme val="minor"/>
    </font>
    <font>
      <u/>
      <sz val="10"/>
      <color indexed="12"/>
      <name val="Arial"/>
      <family val="2"/>
    </font>
    <font>
      <b/>
      <sz val="10"/>
      <color theme="1"/>
      <name val="Arial"/>
      <family val="2"/>
    </font>
    <font>
      <i/>
      <sz val="10"/>
      <color theme="0" tint="-0.499984740745262"/>
      <name val="Arial"/>
      <family val="2"/>
    </font>
    <font>
      <sz val="10"/>
      <color theme="1"/>
      <name val="Arial"/>
      <family val="2"/>
    </font>
    <font>
      <i/>
      <sz val="10"/>
      <name val="Arial"/>
      <family val="2"/>
    </font>
    <font>
      <sz val="10"/>
      <color rgb="FFFF0000"/>
      <name val="Arial"/>
      <family val="2"/>
    </font>
    <font>
      <b/>
      <sz val="10"/>
      <color theme="3"/>
      <name val="Arial"/>
      <family val="2"/>
    </font>
    <font>
      <i/>
      <sz val="10"/>
      <color theme="1"/>
      <name val="Arial"/>
      <family val="2"/>
    </font>
    <font>
      <b/>
      <sz val="12"/>
      <color theme="1"/>
      <name val="Calibri"/>
      <family val="2"/>
      <scheme val="minor"/>
    </font>
    <font>
      <sz val="12"/>
      <color theme="1"/>
      <name val="Calibri"/>
      <family val="2"/>
      <scheme val="minor"/>
    </font>
    <font>
      <u/>
      <sz val="12"/>
      <color theme="1"/>
      <name val="Calibri"/>
      <family val="2"/>
      <scheme val="minor"/>
    </font>
    <font>
      <b/>
      <i/>
      <sz val="12"/>
      <color theme="1"/>
      <name val="Calibri"/>
      <family val="2"/>
      <scheme val="minor"/>
    </font>
    <font>
      <b/>
      <u/>
      <sz val="12"/>
      <color theme="1"/>
      <name val="Calibri"/>
      <family val="2"/>
      <scheme val="minor"/>
    </font>
    <font>
      <vertAlign val="superscript"/>
      <sz val="12"/>
      <color theme="1"/>
      <name val="Calibri"/>
      <family val="2"/>
      <scheme val="minor"/>
    </font>
    <font>
      <b/>
      <sz val="12"/>
      <color theme="1"/>
      <name val="Times New Roman"/>
      <family val="1"/>
    </font>
    <font>
      <sz val="10"/>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theme="0" tint="-0.499984740745262"/>
      <name val="Times New Roman"/>
      <family val="1"/>
    </font>
    <font>
      <sz val="10"/>
      <color theme="1"/>
      <name val="Calibri"/>
      <family val="2"/>
      <scheme val="minor"/>
    </font>
    <font>
      <sz val="12"/>
      <color theme="5"/>
      <name val="Calibri"/>
      <family val="2"/>
      <scheme val="minor"/>
    </font>
    <font>
      <sz val="12"/>
      <color rgb="FF000000"/>
      <name val="Calibri"/>
      <family val="2"/>
      <scheme val="minor"/>
    </font>
    <font>
      <b/>
      <vertAlign val="superscript"/>
      <sz val="12"/>
      <color theme="1"/>
      <name val="Calibri"/>
      <family val="2"/>
      <scheme val="minor"/>
    </font>
    <font>
      <b/>
      <sz val="16"/>
      <color theme="1"/>
      <name val="Calibri"/>
      <family val="2"/>
      <scheme val="minor"/>
    </font>
    <font>
      <b/>
      <sz val="11"/>
      <color theme="1"/>
      <name val="Calibri"/>
      <family val="2"/>
      <scheme val="minor"/>
    </font>
    <font>
      <b/>
      <sz val="12"/>
      <color rgb="FF000000"/>
      <name val="Calibri"/>
      <family val="2"/>
      <scheme val="minor"/>
    </font>
    <font>
      <sz val="10"/>
      <name val="Calibri"/>
      <family val="2"/>
      <scheme val="minor"/>
    </font>
    <font>
      <vertAlign val="superscript"/>
      <sz val="11"/>
      <color theme="1"/>
      <name val="Calibri"/>
      <family val="2"/>
      <scheme val="minor"/>
    </font>
    <font>
      <vertAlign val="superscript"/>
      <sz val="11"/>
      <color rgb="FF000000"/>
      <name val="Calibri"/>
      <family val="2"/>
      <scheme val="minor"/>
    </font>
    <font>
      <sz val="11"/>
      <color rgb="FF000000"/>
      <name val="Calibri"/>
      <family val="2"/>
      <scheme val="minor"/>
    </font>
    <font>
      <b/>
      <vertAlign val="superscript"/>
      <sz val="12"/>
      <color rgb="FF000000"/>
      <name val="Calibri"/>
      <family val="2"/>
      <scheme val="minor"/>
    </font>
    <font>
      <b/>
      <sz val="12"/>
      <name val="Calibri"/>
      <family val="2"/>
      <scheme val="minor"/>
    </font>
    <font>
      <sz val="12"/>
      <name val="Calibri"/>
      <family val="2"/>
      <scheme val="minor"/>
    </font>
    <font>
      <vertAlign val="superscript"/>
      <sz val="12"/>
      <name val="Calibri"/>
      <family val="2"/>
      <scheme val="minor"/>
    </font>
    <font>
      <sz val="11"/>
      <color rgb="FF006100"/>
      <name val="Calibri"/>
      <family val="2"/>
      <scheme val="minor"/>
    </font>
    <font>
      <sz val="11"/>
      <color rgb="FF9C0006"/>
      <name val="Calibri"/>
      <family val="2"/>
      <scheme val="minor"/>
    </font>
    <font>
      <sz val="12"/>
      <color rgb="FF000000"/>
      <name val="Arial"/>
      <family val="2"/>
    </font>
    <font>
      <b/>
      <sz val="14"/>
      <color theme="1"/>
      <name val="Arial"/>
      <family val="2"/>
    </font>
    <font>
      <sz val="11"/>
      <color rgb="FF303030"/>
      <name val="Calibri"/>
      <family val="2"/>
      <scheme val="minor"/>
    </font>
    <font>
      <vertAlign val="subscript"/>
      <sz val="12"/>
      <color theme="1"/>
      <name val="Calibri"/>
      <family val="2"/>
      <scheme val="minor"/>
    </font>
    <font>
      <i/>
      <sz val="12"/>
      <color theme="1"/>
      <name val="Calibri"/>
      <family val="2"/>
      <scheme val="minor"/>
    </font>
    <font>
      <sz val="12"/>
      <color rgb="FFFF0000"/>
      <name val="Calibri"/>
      <family val="2"/>
      <scheme val="minor"/>
    </font>
    <font>
      <sz val="12"/>
      <color indexed="17"/>
      <name val="Calibri"/>
      <family val="2"/>
      <scheme val="minor"/>
    </font>
    <font>
      <sz val="12"/>
      <color theme="3"/>
      <name val="Calibri"/>
      <family val="2"/>
      <scheme val="minor"/>
    </font>
    <font>
      <i/>
      <sz val="12"/>
      <color theme="0" tint="-0.499984740745262"/>
      <name val="Calibri"/>
      <family val="2"/>
      <scheme val="minor"/>
    </font>
    <font>
      <sz val="12"/>
      <color indexed="10"/>
      <name val="Calibri"/>
      <family val="2"/>
      <scheme val="minor"/>
    </font>
    <font>
      <sz val="12"/>
      <color indexed="61"/>
      <name val="Calibri"/>
      <family val="2"/>
      <scheme val="minor"/>
    </font>
    <font>
      <b/>
      <sz val="12"/>
      <color theme="3"/>
      <name val="Calibri"/>
      <family val="2"/>
      <scheme val="minor"/>
    </font>
    <font>
      <b/>
      <sz val="12"/>
      <color rgb="FFFF0000"/>
      <name val="Calibri"/>
      <family val="2"/>
      <scheme val="minor"/>
    </font>
    <font>
      <i/>
      <sz val="12"/>
      <name val="Calibri"/>
      <family val="2"/>
      <scheme val="minor"/>
    </font>
    <font>
      <sz val="12"/>
      <color indexed="12"/>
      <name val="Calibri"/>
      <family val="2"/>
      <scheme val="minor"/>
    </font>
    <font>
      <u/>
      <sz val="12"/>
      <color rgb="FFFF0000"/>
      <name val="Calibri"/>
      <family val="2"/>
      <scheme val="minor"/>
    </font>
    <font>
      <b/>
      <sz val="12"/>
      <color indexed="17"/>
      <name val="Calibri"/>
      <family val="2"/>
      <scheme val="minor"/>
    </font>
    <font>
      <sz val="12"/>
      <color indexed="56"/>
      <name val="Calibri"/>
      <family val="2"/>
      <scheme val="minor"/>
    </font>
    <font>
      <b/>
      <sz val="12"/>
      <color indexed="56"/>
      <name val="Calibri"/>
      <family val="2"/>
      <scheme val="minor"/>
    </font>
    <font>
      <b/>
      <sz val="12"/>
      <color indexed="10"/>
      <name val="Calibri"/>
      <family val="2"/>
      <scheme val="minor"/>
    </font>
    <font>
      <b/>
      <i/>
      <sz val="12"/>
      <color theme="0" tint="-0.499984740745262"/>
      <name val="Calibri"/>
      <family val="2"/>
      <scheme val="minor"/>
    </font>
    <font>
      <b/>
      <sz val="12"/>
      <color theme="0" tint="-0.499984740745262"/>
      <name val="Calibri"/>
      <family val="2"/>
      <scheme val="minor"/>
    </font>
    <font>
      <b/>
      <sz val="8"/>
      <color theme="1"/>
      <name val="Calibri"/>
      <family val="2"/>
      <scheme val="minor"/>
    </font>
    <font>
      <sz val="11"/>
      <color rgb="FFFF0000"/>
      <name val="Calibri"/>
      <family val="2"/>
      <scheme val="minor"/>
    </font>
    <font>
      <b/>
      <sz val="11"/>
      <color rgb="FFFF0000"/>
      <name val="Calibri"/>
      <family val="2"/>
      <scheme val="minor"/>
    </font>
    <font>
      <vertAlign val="superscript"/>
      <sz val="11"/>
      <color rgb="FFFF0000"/>
      <name val="Calibri"/>
      <family val="2"/>
      <scheme val="minor"/>
    </font>
    <font>
      <sz val="12"/>
      <color rgb="FFFF0000"/>
      <name val="Arial"/>
      <family val="2"/>
    </font>
    <font>
      <sz val="12"/>
      <color rgb="FF404040"/>
      <name val="Montserrat"/>
    </font>
    <font>
      <sz val="12"/>
      <color rgb="FF404040"/>
      <name val="Times New Roman"/>
      <family val="1"/>
    </font>
    <font>
      <sz val="12"/>
      <color rgb="FF000000"/>
      <name val="Times New Roman"/>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FF00"/>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auto="1"/>
      </top>
      <bottom/>
      <diagonal/>
    </border>
    <border>
      <left/>
      <right/>
      <top/>
      <bottom style="medium">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s>
  <cellStyleXfs count="64">
    <xf numFmtId="0" fontId="0" fillId="0" borderId="0"/>
    <xf numFmtId="0" fontId="3"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9" fontId="4" fillId="0" borderId="0" applyFont="0" applyFill="0" applyBorder="0" applyAlignment="0" applyProtection="0"/>
    <xf numFmtId="0" fontId="2"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43" fontId="4" fillId="0" borderId="0" applyFont="0" applyFill="0" applyBorder="0" applyAlignment="0" applyProtection="0"/>
    <xf numFmtId="44" fontId="4" fillId="0" borderId="0" applyFont="0" applyFill="0" applyBorder="0" applyAlignment="0" applyProtection="0"/>
    <xf numFmtId="0" fontId="21" fillId="0" borderId="0"/>
    <xf numFmtId="0" fontId="2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27" applyNumberFormat="0" applyAlignment="0" applyProtection="0"/>
    <xf numFmtId="0" fontId="26" fillId="21" borderId="2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29" applyNumberFormat="0" applyFill="0" applyAlignment="0" applyProtection="0"/>
    <xf numFmtId="0" fontId="30" fillId="0" borderId="30" applyNumberFormat="0" applyFill="0" applyAlignment="0" applyProtection="0"/>
    <xf numFmtId="0" fontId="31" fillId="0" borderId="31" applyNumberFormat="0" applyFill="0" applyAlignment="0" applyProtection="0"/>
    <xf numFmtId="0" fontId="31" fillId="0" borderId="0" applyNumberFormat="0" applyFill="0" applyBorder="0" applyAlignment="0" applyProtection="0"/>
    <xf numFmtId="0" fontId="32" fillId="7" borderId="27" applyNumberFormat="0" applyAlignment="0" applyProtection="0"/>
    <xf numFmtId="0" fontId="33" fillId="0" borderId="32" applyNumberFormat="0" applyFill="0" applyAlignment="0" applyProtection="0"/>
    <xf numFmtId="0" fontId="34" fillId="22" borderId="0" applyNumberFormat="0" applyBorder="0" applyAlignment="0" applyProtection="0"/>
    <xf numFmtId="0" fontId="4" fillId="0" borderId="0"/>
    <xf numFmtId="0" fontId="2" fillId="0" borderId="0"/>
    <xf numFmtId="0" fontId="2" fillId="23" borderId="33" applyNumberFormat="0" applyFont="0" applyAlignment="0" applyProtection="0"/>
    <xf numFmtId="0" fontId="35" fillId="20" borderId="34" applyNumberFormat="0" applyAlignment="0" applyProtection="0"/>
    <xf numFmtId="0" fontId="36" fillId="0" borderId="0" applyNumberFormat="0" applyFill="0" applyBorder="0" applyAlignment="0" applyProtection="0"/>
    <xf numFmtId="0" fontId="37" fillId="0" borderId="35" applyNumberFormat="0" applyFill="0" applyAlignment="0" applyProtection="0"/>
    <xf numFmtId="0" fontId="38" fillId="0" borderId="0" applyNumberFormat="0" applyFill="0" applyBorder="0" applyAlignment="0" applyProtection="0"/>
    <xf numFmtId="0" fontId="55" fillId="27" borderId="0" applyNumberFormat="0" applyBorder="0" applyAlignment="0" applyProtection="0"/>
    <xf numFmtId="0" fontId="56" fillId="28" borderId="0" applyNumberFormat="0" applyBorder="0" applyAlignment="0" applyProtection="0"/>
  </cellStyleXfs>
  <cellXfs count="769">
    <xf numFmtId="0" fontId="0" fillId="0" borderId="0" xfId="0"/>
    <xf numFmtId="3" fontId="0" fillId="0" borderId="0" xfId="0" applyNumberFormat="1"/>
    <xf numFmtId="0" fontId="15" fillId="26" borderId="0" xfId="0" applyFont="1" applyFill="1"/>
    <xf numFmtId="0" fontId="14" fillId="26" borderId="0" xfId="0" applyFont="1" applyFill="1" applyBorder="1"/>
    <xf numFmtId="0" fontId="15" fillId="26" borderId="0" xfId="0" applyFont="1" applyFill="1" applyBorder="1"/>
    <xf numFmtId="0" fontId="14" fillId="26" borderId="18" xfId="0" applyFont="1" applyFill="1" applyBorder="1" applyAlignment="1">
      <alignment horizontal="center"/>
    </xf>
    <xf numFmtId="164" fontId="14" fillId="26" borderId="18" xfId="0" applyNumberFormat="1" applyFont="1" applyFill="1" applyBorder="1" applyAlignment="1">
      <alignment horizontal="center"/>
    </xf>
    <xf numFmtId="0" fontId="16" fillId="26" borderId="0" xfId="0" applyFont="1" applyFill="1" applyAlignment="1">
      <alignment horizontal="center"/>
    </xf>
    <xf numFmtId="0" fontId="14" fillId="26" borderId="0" xfId="0" applyFont="1" applyFill="1" applyBorder="1" applyAlignment="1">
      <alignment horizontal="center"/>
    </xf>
    <xf numFmtId="0" fontId="14" fillId="26" borderId="0" xfId="0" applyFont="1" applyFill="1" applyBorder="1" applyAlignment="1"/>
    <xf numFmtId="0" fontId="18" fillId="26" borderId="0" xfId="0" applyFont="1" applyFill="1" applyAlignment="1"/>
    <xf numFmtId="0" fontId="15" fillId="26" borderId="0" xfId="0" applyFont="1" applyFill="1" applyBorder="1" applyAlignment="1">
      <alignment horizontal="center"/>
    </xf>
    <xf numFmtId="164" fontId="15" fillId="26" borderId="0" xfId="0" applyNumberFormat="1" applyFont="1" applyFill="1" applyBorder="1" applyAlignment="1">
      <alignment horizontal="center"/>
    </xf>
    <xf numFmtId="2" fontId="15" fillId="26" borderId="0" xfId="0" applyNumberFormat="1" applyFont="1" applyFill="1" applyBorder="1" applyAlignment="1">
      <alignment horizontal="center"/>
    </xf>
    <xf numFmtId="0" fontId="14" fillId="26" borderId="0" xfId="0" applyFont="1" applyFill="1"/>
    <xf numFmtId="0" fontId="15" fillId="26" borderId="0" xfId="0" applyFont="1" applyFill="1" applyAlignment="1">
      <alignment horizontal="center"/>
    </xf>
    <xf numFmtId="3" fontId="15" fillId="26" borderId="0" xfId="0" applyNumberFormat="1" applyFont="1" applyFill="1" applyAlignment="1">
      <alignment horizontal="center"/>
    </xf>
    <xf numFmtId="170" fontId="15" fillId="26" borderId="0" xfId="0" applyNumberFormat="1" applyFont="1" applyFill="1" applyAlignment="1">
      <alignment horizontal="center"/>
    </xf>
    <xf numFmtId="164" fontId="15" fillId="26" borderId="0" xfId="0" applyNumberFormat="1" applyFont="1" applyFill="1" applyAlignment="1">
      <alignment horizontal="center"/>
    </xf>
    <xf numFmtId="0" fontId="14" fillId="26" borderId="9" xfId="0" applyFont="1" applyFill="1" applyBorder="1" applyAlignment="1"/>
    <xf numFmtId="0" fontId="14" fillId="26" borderId="10" xfId="0" applyFont="1" applyFill="1" applyBorder="1" applyAlignment="1"/>
    <xf numFmtId="0" fontId="14" fillId="26" borderId="9" xfId="0" applyFont="1" applyFill="1" applyBorder="1" applyAlignment="1">
      <alignment horizontal="right"/>
    </xf>
    <xf numFmtId="164" fontId="14" fillId="26" borderId="10" xfId="0" applyNumberFormat="1" applyFont="1" applyFill="1" applyBorder="1" applyAlignment="1">
      <alignment horizontal="center"/>
    </xf>
    <xf numFmtId="2" fontId="14" fillId="26" borderId="0" xfId="0" applyNumberFormat="1" applyFont="1" applyFill="1" applyBorder="1" applyAlignment="1">
      <alignment horizontal="center"/>
    </xf>
    <xf numFmtId="170" fontId="15" fillId="26" borderId="0" xfId="0" applyNumberFormat="1" applyFont="1" applyFill="1" applyBorder="1" applyAlignment="1">
      <alignment horizontal="center"/>
    </xf>
    <xf numFmtId="0" fontId="15" fillId="26" borderId="0" xfId="0" applyFont="1" applyFill="1" applyAlignment="1"/>
    <xf numFmtId="164" fontId="15" fillId="26" borderId="0" xfId="11" applyNumberFormat="1" applyFont="1" applyFill="1" applyAlignment="1">
      <alignment horizontal="center"/>
    </xf>
    <xf numFmtId="2" fontId="15" fillId="26" borderId="0" xfId="0" applyNumberFormat="1" applyFont="1" applyFill="1" applyAlignment="1"/>
    <xf numFmtId="1" fontId="15" fillId="26" borderId="0" xfId="0" applyNumberFormat="1" applyFont="1" applyFill="1" applyAlignment="1"/>
    <xf numFmtId="165" fontId="15" fillId="26" borderId="0" xfId="0" applyNumberFormat="1" applyFont="1" applyFill="1" applyBorder="1" applyAlignment="1">
      <alignment horizontal="right"/>
    </xf>
    <xf numFmtId="165" fontId="15" fillId="26" borderId="0" xfId="0" applyNumberFormat="1" applyFont="1" applyFill="1" applyBorder="1" applyAlignment="1"/>
    <xf numFmtId="165" fontId="15" fillId="26" borderId="0" xfId="0" applyNumberFormat="1" applyFont="1" applyFill="1" applyAlignment="1"/>
    <xf numFmtId="0" fontId="14" fillId="26" borderId="0" xfId="0" applyFont="1" applyFill="1" applyBorder="1" applyAlignment="1">
      <alignment horizontal="left"/>
    </xf>
    <xf numFmtId="0" fontId="15" fillId="26" borderId="0" xfId="0" applyFont="1" applyFill="1" applyBorder="1" applyAlignment="1">
      <alignment horizontal="left"/>
    </xf>
    <xf numFmtId="0" fontId="15" fillId="26" borderId="0" xfId="0" applyFont="1" applyFill="1" applyAlignment="1">
      <alignment horizontal="left"/>
    </xf>
    <xf numFmtId="176" fontId="15" fillId="26" borderId="0" xfId="0" applyNumberFormat="1" applyFont="1" applyFill="1" applyAlignment="1">
      <alignment horizontal="center"/>
    </xf>
    <xf numFmtId="164" fontId="15" fillId="26" borderId="0" xfId="0" applyNumberFormat="1" applyFont="1" applyFill="1" applyAlignment="1"/>
    <xf numFmtId="0" fontId="14" fillId="26" borderId="19" xfId="0" applyFont="1" applyFill="1" applyBorder="1" applyAlignment="1">
      <alignment horizontal="left"/>
    </xf>
    <xf numFmtId="0" fontId="14" fillId="26" borderId="6" xfId="0" applyFont="1" applyFill="1" applyBorder="1" applyAlignment="1">
      <alignment horizontal="right"/>
    </xf>
    <xf numFmtId="0" fontId="14" fillId="26" borderId="19" xfId="0" applyFont="1" applyFill="1" applyBorder="1" applyAlignment="1">
      <alignment horizontal="right"/>
    </xf>
    <xf numFmtId="164" fontId="14" fillId="26" borderId="6" xfId="0" applyNumberFormat="1" applyFont="1" applyFill="1" applyBorder="1" applyAlignment="1">
      <alignment horizontal="center"/>
    </xf>
    <xf numFmtId="4" fontId="15" fillId="26" borderId="0" xfId="0" applyNumberFormat="1" applyFont="1" applyFill="1" applyAlignment="1"/>
    <xf numFmtId="164" fontId="14" fillId="26" borderId="36" xfId="0" applyNumberFormat="1" applyFont="1" applyFill="1" applyBorder="1" applyAlignment="1">
      <alignment horizontal="center"/>
    </xf>
    <xf numFmtId="165" fontId="14" fillId="26" borderId="0" xfId="0" applyNumberFormat="1" applyFont="1" applyFill="1" applyAlignment="1">
      <alignment horizontal="center"/>
    </xf>
    <xf numFmtId="0" fontId="18" fillId="26" borderId="0" xfId="0" applyFont="1" applyFill="1" applyBorder="1" applyAlignment="1">
      <alignment horizontal="center"/>
    </xf>
    <xf numFmtId="164" fontId="18" fillId="26" borderId="0" xfId="0" applyNumberFormat="1" applyFont="1" applyFill="1" applyBorder="1" applyAlignment="1">
      <alignment horizontal="center"/>
    </xf>
    <xf numFmtId="39" fontId="14" fillId="26" borderId="0" xfId="0" applyNumberFormat="1" applyFont="1" applyFill="1" applyBorder="1" applyAlignment="1">
      <alignment horizontal="center"/>
    </xf>
    <xf numFmtId="2" fontId="14" fillId="26" borderId="0" xfId="0" applyNumberFormat="1" applyFont="1" applyFill="1" applyAlignment="1">
      <alignment horizontal="center"/>
    </xf>
    <xf numFmtId="0" fontId="15" fillId="26" borderId="0" xfId="0" applyFont="1" applyFill="1" applyBorder="1" applyAlignment="1"/>
    <xf numFmtId="166" fontId="15" fillId="26" borderId="0" xfId="0" applyNumberFormat="1" applyFont="1" applyFill="1"/>
    <xf numFmtId="164" fontId="15" fillId="26" borderId="0" xfId="0" applyNumberFormat="1" applyFont="1" applyFill="1"/>
    <xf numFmtId="0" fontId="18" fillId="26" borderId="0" xfId="0" applyFont="1" applyFill="1" applyAlignment="1">
      <alignment horizontal="center"/>
    </xf>
    <xf numFmtId="0" fontId="15" fillId="26" borderId="0" xfId="0" applyFont="1" applyFill="1" applyAlignment="1">
      <alignment horizontal="left" indent="1"/>
    </xf>
    <xf numFmtId="165" fontId="15" fillId="26" borderId="0" xfId="0" applyNumberFormat="1" applyFont="1" applyFill="1" applyBorder="1"/>
    <xf numFmtId="165" fontId="17" fillId="26" borderId="0" xfId="0" applyNumberFormat="1" applyFont="1" applyFill="1" applyBorder="1"/>
    <xf numFmtId="1" fontId="15" fillId="26" borderId="0" xfId="0" applyNumberFormat="1" applyFont="1" applyFill="1" applyBorder="1" applyAlignment="1"/>
    <xf numFmtId="0" fontId="14" fillId="26" borderId="14" xfId="0" applyFont="1" applyFill="1" applyBorder="1" applyAlignment="1">
      <alignment horizontal="left"/>
    </xf>
    <xf numFmtId="170" fontId="14" fillId="26" borderId="0" xfId="0" applyNumberFormat="1" applyFont="1" applyFill="1" applyBorder="1" applyAlignment="1">
      <alignment horizontal="center"/>
    </xf>
    <xf numFmtId="0" fontId="14" fillId="26" borderId="38" xfId="0" applyFont="1" applyFill="1" applyBorder="1" applyAlignment="1"/>
    <xf numFmtId="0" fontId="14" fillId="26" borderId="39" xfId="0" applyFont="1" applyFill="1" applyBorder="1" applyAlignment="1">
      <alignment horizontal="right"/>
    </xf>
    <xf numFmtId="165" fontId="14" fillId="26" borderId="0" xfId="0" applyNumberFormat="1" applyFont="1" applyFill="1" applyBorder="1" applyAlignment="1">
      <alignment horizontal="center"/>
    </xf>
    <xf numFmtId="39" fontId="14" fillId="26" borderId="0" xfId="0" applyNumberFormat="1" applyFont="1" applyFill="1" applyAlignment="1">
      <alignment horizontal="center"/>
    </xf>
    <xf numFmtId="0" fontId="41" fillId="26" borderId="0" xfId="0" applyFont="1" applyFill="1" applyAlignment="1">
      <alignment horizontal="center"/>
    </xf>
    <xf numFmtId="2" fontId="15" fillId="26" borderId="0" xfId="0" applyNumberFormat="1" applyFont="1" applyFill="1"/>
    <xf numFmtId="0" fontId="14" fillId="26" borderId="12" xfId="0" applyFont="1" applyFill="1" applyBorder="1" applyAlignment="1">
      <alignment horizontal="center"/>
    </xf>
    <xf numFmtId="0" fontId="15" fillId="26" borderId="14" xfId="0" applyFont="1" applyFill="1" applyBorder="1" applyAlignment="1">
      <alignment horizontal="center" vertical="center"/>
    </xf>
    <xf numFmtId="0" fontId="15" fillId="26" borderId="36" xfId="0" applyFont="1" applyFill="1" applyBorder="1" applyAlignment="1">
      <alignment horizontal="center" vertical="center" wrapText="1"/>
    </xf>
    <xf numFmtId="0" fontId="15" fillId="26" borderId="36" xfId="0" applyFont="1" applyFill="1" applyBorder="1" applyAlignment="1">
      <alignment horizontal="center" vertical="center"/>
    </xf>
    <xf numFmtId="164" fontId="15" fillId="26" borderId="0" xfId="0" applyNumberFormat="1" applyFont="1" applyFill="1" applyAlignment="1">
      <alignment horizontal="right"/>
    </xf>
    <xf numFmtId="4" fontId="15" fillId="26" borderId="0" xfId="0" applyNumberFormat="1" applyFont="1" applyFill="1" applyAlignment="1">
      <alignment horizontal="center"/>
    </xf>
    <xf numFmtId="3" fontId="15" fillId="26" borderId="6" xfId="0" applyNumberFormat="1" applyFont="1" applyFill="1" applyBorder="1" applyAlignment="1"/>
    <xf numFmtId="3" fontId="15" fillId="26" borderId="0" xfId="0" applyNumberFormat="1" applyFont="1" applyFill="1" applyBorder="1" applyAlignment="1"/>
    <xf numFmtId="0" fontId="5" fillId="26" borderId="0" xfId="8" applyFont="1" applyFill="1" applyBorder="1"/>
    <xf numFmtId="3" fontId="14" fillId="26" borderId="0" xfId="0" applyNumberFormat="1" applyFont="1" applyFill="1" applyAlignment="1">
      <alignment horizontal="center"/>
    </xf>
    <xf numFmtId="164" fontId="14" fillId="26" borderId="0" xfId="0" applyNumberFormat="1" applyFont="1" applyFill="1" applyAlignment="1">
      <alignment horizontal="right"/>
    </xf>
    <xf numFmtId="0" fontId="14" fillId="26" borderId="0" xfId="0" applyFont="1" applyFill="1" applyAlignment="1">
      <alignment horizontal="center"/>
    </xf>
    <xf numFmtId="4" fontId="14" fillId="26" borderId="0" xfId="0" applyNumberFormat="1" applyFont="1" applyFill="1" applyBorder="1" applyAlignment="1">
      <alignment horizontal="center"/>
    </xf>
    <xf numFmtId="3" fontId="14" fillId="26" borderId="0" xfId="0" applyNumberFormat="1" applyFont="1" applyFill="1" applyBorder="1" applyAlignment="1"/>
    <xf numFmtId="3" fontId="15" fillId="26" borderId="36" xfId="0" applyNumberFormat="1" applyFont="1" applyFill="1" applyBorder="1" applyAlignment="1">
      <alignment horizontal="center"/>
    </xf>
    <xf numFmtId="164" fontId="15" fillId="26" borderId="7" xfId="0" applyNumberFormat="1" applyFont="1" applyFill="1" applyBorder="1" applyAlignment="1">
      <alignment horizontal="right"/>
    </xf>
    <xf numFmtId="4" fontId="15" fillId="26" borderId="36" xfId="0" applyNumberFormat="1" applyFont="1" applyFill="1" applyBorder="1" applyAlignment="1">
      <alignment horizontal="center"/>
    </xf>
    <xf numFmtId="3" fontId="15" fillId="26" borderId="7" xfId="0" applyNumberFormat="1" applyFont="1" applyFill="1" applyBorder="1" applyAlignment="1"/>
    <xf numFmtId="0" fontId="15" fillId="26" borderId="6" xfId="0" applyFont="1" applyFill="1" applyBorder="1" applyAlignment="1">
      <alignment wrapText="1"/>
    </xf>
    <xf numFmtId="0" fontId="15" fillId="26" borderId="0" xfId="0" applyFont="1" applyFill="1" applyAlignment="1">
      <alignment wrapText="1"/>
    </xf>
    <xf numFmtId="0" fontId="14" fillId="26" borderId="6" xfId="0" applyFont="1" applyFill="1" applyBorder="1" applyAlignment="1"/>
    <xf numFmtId="0" fontId="14" fillId="26" borderId="20" xfId="0" applyFont="1" applyFill="1" applyBorder="1" applyAlignment="1"/>
    <xf numFmtId="44" fontId="15" fillId="26" borderId="19" xfId="0" applyNumberFormat="1" applyFont="1" applyFill="1" applyBorder="1"/>
    <xf numFmtId="7" fontId="15" fillId="26" borderId="6" xfId="0" applyNumberFormat="1" applyFont="1" applyFill="1" applyBorder="1"/>
    <xf numFmtId="7" fontId="15" fillId="26" borderId="20" xfId="0" applyNumberFormat="1" applyFont="1" applyFill="1" applyBorder="1"/>
    <xf numFmtId="44" fontId="15" fillId="26" borderId="12" xfId="0" applyNumberFormat="1" applyFont="1" applyFill="1" applyBorder="1"/>
    <xf numFmtId="7" fontId="15" fillId="26" borderId="19" xfId="0" applyNumberFormat="1" applyFont="1" applyFill="1" applyBorder="1"/>
    <xf numFmtId="7" fontId="14" fillId="26" borderId="6" xfId="0" applyNumberFormat="1" applyFont="1" applyFill="1" applyBorder="1" applyAlignment="1">
      <alignment horizontal="center"/>
    </xf>
    <xf numFmtId="1" fontId="15" fillId="26" borderId="12" xfId="0" applyNumberFormat="1" applyFont="1" applyFill="1" applyBorder="1" applyAlignment="1">
      <alignment horizontal="center"/>
    </xf>
    <xf numFmtId="8" fontId="15" fillId="26" borderId="12" xfId="0" applyNumberFormat="1" applyFont="1" applyFill="1" applyBorder="1"/>
    <xf numFmtId="8" fontId="15" fillId="26" borderId="0" xfId="0" applyNumberFormat="1" applyFont="1" applyFill="1" applyBorder="1"/>
    <xf numFmtId="8" fontId="15" fillId="26" borderId="13" xfId="0" applyNumberFormat="1" applyFont="1" applyFill="1" applyBorder="1"/>
    <xf numFmtId="1" fontId="14" fillId="26" borderId="12" xfId="0" applyNumberFormat="1" applyFont="1" applyFill="1" applyBorder="1" applyAlignment="1">
      <alignment horizontal="center"/>
    </xf>
    <xf numFmtId="1" fontId="15" fillId="26" borderId="14" xfId="0" applyNumberFormat="1" applyFont="1" applyFill="1" applyBorder="1" applyAlignment="1">
      <alignment horizontal="center"/>
    </xf>
    <xf numFmtId="8" fontId="15" fillId="26" borderId="14" xfId="0" applyNumberFormat="1" applyFont="1" applyFill="1" applyBorder="1"/>
    <xf numFmtId="8" fontId="15" fillId="26" borderId="36" xfId="0" applyNumberFormat="1" applyFont="1" applyFill="1" applyBorder="1"/>
    <xf numFmtId="8" fontId="15" fillId="26" borderId="15" xfId="0" applyNumberFormat="1" applyFont="1" applyFill="1" applyBorder="1"/>
    <xf numFmtId="1" fontId="15" fillId="26" borderId="0" xfId="0" applyNumberFormat="1" applyFont="1" applyFill="1" applyBorder="1" applyAlignment="1">
      <alignment horizontal="center"/>
    </xf>
    <xf numFmtId="0" fontId="15" fillId="26" borderId="0" xfId="0" applyFont="1" applyFill="1" applyBorder="1" applyAlignment="1">
      <alignment vertical="center"/>
    </xf>
    <xf numFmtId="0" fontId="20" fillId="26" borderId="0" xfId="0" applyFont="1" applyFill="1" applyAlignment="1">
      <alignment vertical="top" wrapText="1"/>
    </xf>
    <xf numFmtId="175" fontId="15" fillId="26" borderId="0" xfId="0" applyNumberFormat="1" applyFont="1" applyFill="1"/>
    <xf numFmtId="0" fontId="0" fillId="26" borderId="0" xfId="0" applyFont="1" applyFill="1"/>
    <xf numFmtId="11" fontId="0" fillId="26" borderId="0" xfId="0" applyNumberFormat="1" applyFont="1" applyFill="1"/>
    <xf numFmtId="1" fontId="0" fillId="26" borderId="0" xfId="0" applyNumberFormat="1" applyFont="1" applyFill="1"/>
    <xf numFmtId="0" fontId="45" fillId="26" borderId="1" xfId="0" applyFont="1" applyFill="1" applyBorder="1"/>
    <xf numFmtId="0" fontId="0" fillId="26" borderId="1" xfId="0" applyFont="1" applyFill="1" applyBorder="1"/>
    <xf numFmtId="164" fontId="15" fillId="26" borderId="1" xfId="0" applyNumberFormat="1" applyFont="1" applyFill="1" applyBorder="1" applyAlignment="1">
      <alignment horizontal="center"/>
    </xf>
    <xf numFmtId="0" fontId="15" fillId="26" borderId="1" xfId="0" applyFont="1" applyFill="1" applyBorder="1" applyAlignment="1">
      <alignment horizontal="center"/>
    </xf>
    <xf numFmtId="2" fontId="15" fillId="26" borderId="1" xfId="0" applyNumberFormat="1" applyFont="1" applyFill="1" applyBorder="1" applyAlignment="1">
      <alignment horizontal="center"/>
    </xf>
    <xf numFmtId="0" fontId="15" fillId="26" borderId="1" xfId="0" applyFont="1" applyFill="1" applyBorder="1"/>
    <xf numFmtId="9" fontId="15" fillId="26" borderId="0" xfId="0" applyNumberFormat="1" applyFont="1" applyFill="1"/>
    <xf numFmtId="164" fontId="15" fillId="26" borderId="0" xfId="0" applyNumberFormat="1" applyFont="1" applyFill="1" applyBorder="1" applyAlignment="1">
      <alignment horizontal="left"/>
    </xf>
    <xf numFmtId="167" fontId="15" fillId="26" borderId="0" xfId="0" applyNumberFormat="1" applyFont="1" applyFill="1" applyAlignment="1">
      <alignment horizontal="right"/>
    </xf>
    <xf numFmtId="164" fontId="15" fillId="26" borderId="0" xfId="0" applyNumberFormat="1" applyFont="1" applyFill="1" applyBorder="1" applyAlignment="1"/>
    <xf numFmtId="2" fontId="15" fillId="26" borderId="0" xfId="0" applyNumberFormat="1" applyFont="1" applyFill="1" applyAlignment="1">
      <alignment horizontal="right"/>
    </xf>
    <xf numFmtId="2" fontId="15" fillId="26" borderId="0" xfId="0" applyNumberFormat="1" applyFont="1" applyFill="1" applyBorder="1" applyAlignment="1">
      <alignment horizontal="right"/>
    </xf>
    <xf numFmtId="167" fontId="0" fillId="26" borderId="0" xfId="0" applyNumberFormat="1" applyFont="1" applyFill="1"/>
    <xf numFmtId="0" fontId="15" fillId="26" borderId="1" xfId="0" applyFont="1" applyFill="1" applyBorder="1" applyAlignment="1">
      <alignment horizontal="left"/>
    </xf>
    <xf numFmtId="167" fontId="15" fillId="26" borderId="1" xfId="0" applyNumberFormat="1" applyFont="1" applyFill="1" applyBorder="1" applyAlignment="1">
      <alignment horizontal="right"/>
    </xf>
    <xf numFmtId="164" fontId="15" fillId="26" borderId="1" xfId="0" applyNumberFormat="1" applyFont="1" applyFill="1" applyBorder="1"/>
    <xf numFmtId="2" fontId="0" fillId="26" borderId="0" xfId="0" applyNumberFormat="1" applyFont="1" applyFill="1"/>
    <xf numFmtId="4" fontId="15" fillId="26" borderId="0" xfId="0" applyNumberFormat="1" applyFont="1" applyFill="1" applyBorder="1" applyAlignment="1">
      <alignment horizontal="right"/>
    </xf>
    <xf numFmtId="0" fontId="15" fillId="26" borderId="0" xfId="0" applyFont="1" applyFill="1" applyBorder="1" applyAlignment="1">
      <alignment vertical="top"/>
    </xf>
    <xf numFmtId="0" fontId="15" fillId="26" borderId="3" xfId="0" applyFont="1" applyFill="1" applyBorder="1" applyAlignment="1">
      <alignment vertical="center" wrapText="1"/>
    </xf>
    <xf numFmtId="2" fontId="15" fillId="26" borderId="3" xfId="0" applyNumberFormat="1" applyFont="1" applyFill="1" applyBorder="1" applyAlignment="1">
      <alignment horizontal="right" vertical="top" wrapText="1"/>
    </xf>
    <xf numFmtId="0" fontId="15" fillId="26" borderId="0" xfId="0" applyFont="1" applyFill="1" applyAlignment="1">
      <alignment vertical="center"/>
    </xf>
    <xf numFmtId="2" fontId="15" fillId="26" borderId="0" xfId="0" applyNumberFormat="1" applyFont="1" applyFill="1" applyBorder="1" applyAlignment="1">
      <alignment horizontal="right" vertical="top" wrapText="1"/>
    </xf>
    <xf numFmtId="0" fontId="0" fillId="26" borderId="0" xfId="0" applyFont="1" applyFill="1" applyAlignment="1">
      <alignment vertical="top"/>
    </xf>
    <xf numFmtId="0" fontId="15" fillId="26" borderId="0" xfId="0" applyFont="1" applyFill="1" applyBorder="1" applyAlignment="1">
      <alignment horizontal="right" vertical="top" wrapText="1"/>
    </xf>
    <xf numFmtId="0" fontId="15" fillId="26" borderId="1" xfId="0" applyFont="1" applyFill="1" applyBorder="1" applyAlignment="1">
      <alignment vertical="center"/>
    </xf>
    <xf numFmtId="167" fontId="15" fillId="26" borderId="1" xfId="0" applyNumberFormat="1" applyFont="1" applyFill="1" applyBorder="1" applyAlignment="1">
      <alignment horizontal="right" vertical="top" wrapText="1"/>
    </xf>
    <xf numFmtId="0" fontId="15" fillId="26" borderId="0" xfId="0" applyFont="1" applyFill="1" applyAlignment="1">
      <alignment vertical="top"/>
    </xf>
    <xf numFmtId="0" fontId="40" fillId="26" borderId="0" xfId="0" applyFont="1" applyFill="1" applyAlignment="1">
      <alignment horizontal="right"/>
    </xf>
    <xf numFmtId="2" fontId="40" fillId="26" borderId="0" xfId="0" applyNumberFormat="1" applyFont="1" applyFill="1" applyAlignment="1">
      <alignment horizontal="right"/>
    </xf>
    <xf numFmtId="2" fontId="47" fillId="26" borderId="0" xfId="0" applyNumberFormat="1" applyFont="1" applyFill="1" applyBorder="1"/>
    <xf numFmtId="0" fontId="0" fillId="26" borderId="0" xfId="0" applyFont="1" applyFill="1" applyBorder="1" applyAlignment="1">
      <alignment vertical="top" wrapText="1"/>
    </xf>
    <xf numFmtId="0" fontId="0" fillId="26" borderId="0" xfId="0" applyFont="1" applyFill="1" applyBorder="1" applyAlignment="1">
      <alignment wrapText="1"/>
    </xf>
    <xf numFmtId="0" fontId="48" fillId="26" borderId="0" xfId="0" applyFont="1" applyFill="1" applyAlignment="1">
      <alignment vertical="center" wrapText="1"/>
    </xf>
    <xf numFmtId="0" fontId="48" fillId="26" borderId="0" xfId="0" applyFont="1" applyFill="1" applyBorder="1" applyAlignment="1">
      <alignment vertical="center" wrapText="1"/>
    </xf>
    <xf numFmtId="0" fontId="48" fillId="26" borderId="0" xfId="0" applyFont="1" applyFill="1" applyBorder="1" applyAlignment="1">
      <alignment vertical="top" wrapText="1"/>
    </xf>
    <xf numFmtId="0" fontId="49" fillId="26" borderId="0" xfId="0" applyFont="1" applyFill="1" applyBorder="1" applyAlignment="1">
      <alignment vertical="top" wrapText="1"/>
    </xf>
    <xf numFmtId="0" fontId="0" fillId="26" borderId="0" xfId="0" applyFont="1" applyFill="1" applyBorder="1"/>
    <xf numFmtId="0" fontId="40" fillId="26" borderId="0" xfId="0" applyFont="1" applyFill="1" applyAlignment="1">
      <alignment vertical="center"/>
    </xf>
    <xf numFmtId="2" fontId="14" fillId="26" borderId="0" xfId="0" applyNumberFormat="1" applyFont="1" applyFill="1"/>
    <xf numFmtId="2" fontId="14" fillId="26" borderId="1" xfId="0" applyNumberFormat="1" applyFont="1" applyFill="1" applyBorder="1"/>
    <xf numFmtId="2" fontId="15" fillId="26" borderId="1" xfId="0" applyNumberFormat="1" applyFont="1" applyFill="1" applyBorder="1"/>
    <xf numFmtId="0" fontId="14" fillId="26" borderId="14" xfId="0" applyFont="1" applyFill="1" applyBorder="1" applyAlignment="1">
      <alignment horizontal="right"/>
    </xf>
    <xf numFmtId="0" fontId="14" fillId="26" borderId="36" xfId="0" applyFont="1" applyFill="1" applyBorder="1" applyAlignment="1">
      <alignment horizontal="right"/>
    </xf>
    <xf numFmtId="0" fontId="15" fillId="26" borderId="0" xfId="0" applyFont="1" applyFill="1" applyAlignment="1">
      <alignment vertical="top" wrapText="1"/>
    </xf>
    <xf numFmtId="0" fontId="15" fillId="26" borderId="0" xfId="0" applyFont="1" applyFill="1" applyAlignment="1">
      <alignment horizontal="left" vertical="top" wrapText="1"/>
    </xf>
    <xf numFmtId="0" fontId="14" fillId="26" borderId="36" xfId="0" applyFont="1" applyFill="1" applyBorder="1" applyAlignment="1">
      <alignment horizontal="center"/>
    </xf>
    <xf numFmtId="0" fontId="14" fillId="26" borderId="10" xfId="0" applyFont="1" applyFill="1" applyBorder="1" applyAlignment="1">
      <alignment horizontal="center"/>
    </xf>
    <xf numFmtId="0" fontId="15" fillId="0" borderId="0" xfId="0" applyFont="1"/>
    <xf numFmtId="0" fontId="15" fillId="0" borderId="0" xfId="0" applyFont="1" applyAlignment="1">
      <alignment horizontal="center" vertical="center"/>
    </xf>
    <xf numFmtId="1" fontId="15" fillId="24" borderId="0" xfId="0" applyNumberFormat="1" applyFont="1" applyFill="1" applyAlignment="1">
      <alignment horizontal="right"/>
    </xf>
    <xf numFmtId="165" fontId="15" fillId="24" borderId="0" xfId="0" applyNumberFormat="1" applyFont="1" applyFill="1" applyAlignment="1">
      <alignment horizontal="right"/>
    </xf>
    <xf numFmtId="2" fontId="65" fillId="24" borderId="0" xfId="0" applyNumberFormat="1" applyFont="1" applyFill="1"/>
    <xf numFmtId="3" fontId="14" fillId="24" borderId="0" xfId="0" applyNumberFormat="1" applyFont="1" applyFill="1"/>
    <xf numFmtId="167" fontId="65" fillId="24" borderId="0" xfId="0" applyNumberFormat="1" applyFont="1" applyFill="1"/>
    <xf numFmtId="3" fontId="61" fillId="24" borderId="0" xfId="0" applyNumberFormat="1" applyFont="1" applyFill="1" applyAlignment="1"/>
    <xf numFmtId="3" fontId="15" fillId="24" borderId="0" xfId="0" applyNumberFormat="1" applyFont="1" applyFill="1"/>
    <xf numFmtId="3" fontId="65" fillId="24" borderId="0" xfId="0" applyNumberFormat="1" applyFont="1" applyFill="1" applyAlignment="1"/>
    <xf numFmtId="166" fontId="15" fillId="24" borderId="0" xfId="0" applyNumberFormat="1" applyFont="1" applyFill="1"/>
    <xf numFmtId="167" fontId="15" fillId="24" borderId="0" xfId="0" applyNumberFormat="1" applyFont="1" applyFill="1"/>
    <xf numFmtId="2" fontId="15" fillId="24" borderId="0" xfId="0" applyNumberFormat="1" applyFont="1" applyFill="1"/>
    <xf numFmtId="0" fontId="65" fillId="0" borderId="0" xfId="0" applyFont="1"/>
    <xf numFmtId="1" fontId="53" fillId="24" borderId="0" xfId="0" applyNumberFormat="1" applyFont="1" applyFill="1"/>
    <xf numFmtId="165" fontId="15" fillId="24" borderId="0" xfId="0" applyNumberFormat="1" applyFont="1" applyFill="1" applyBorder="1" applyAlignment="1">
      <alignment horizontal="right"/>
    </xf>
    <xf numFmtId="0" fontId="15" fillId="24" borderId="0" xfId="0" applyFont="1" applyFill="1" applyBorder="1" applyAlignment="1">
      <alignment horizontal="right"/>
    </xf>
    <xf numFmtId="2" fontId="61" fillId="24" borderId="0" xfId="0" applyNumberFormat="1" applyFont="1" applyFill="1" applyAlignment="1"/>
    <xf numFmtId="1" fontId="15" fillId="24" borderId="0" xfId="0" applyNumberFormat="1" applyFont="1" applyFill="1"/>
    <xf numFmtId="2" fontId="15" fillId="25" borderId="0" xfId="0" applyNumberFormat="1" applyFont="1" applyFill="1"/>
    <xf numFmtId="165" fontId="53" fillId="24" borderId="0" xfId="0" applyNumberFormat="1" applyFont="1" applyFill="1" applyAlignment="1">
      <alignment horizontal="right"/>
    </xf>
    <xf numFmtId="3" fontId="53" fillId="24" borderId="0" xfId="0" applyNumberFormat="1" applyFont="1" applyFill="1"/>
    <xf numFmtId="2" fontId="53" fillId="24" borderId="0" xfId="0" applyNumberFormat="1" applyFont="1" applyFill="1"/>
    <xf numFmtId="0" fontId="15" fillId="24" borderId="0" xfId="0" applyFont="1" applyFill="1"/>
    <xf numFmtId="1" fontId="53" fillId="24" borderId="0" xfId="0" applyNumberFormat="1" applyFont="1" applyFill="1" applyAlignment="1">
      <alignment vertical="center"/>
    </xf>
    <xf numFmtId="165" fontId="53" fillId="24" borderId="0" xfId="0" applyNumberFormat="1" applyFont="1" applyFill="1" applyAlignment="1">
      <alignment horizontal="right" vertical="center"/>
    </xf>
    <xf numFmtId="1" fontId="61" fillId="24" borderId="0" xfId="0" applyNumberFormat="1" applyFont="1" applyFill="1" applyAlignment="1"/>
    <xf numFmtId="2" fontId="15" fillId="25" borderId="0" xfId="0" applyNumberFormat="1" applyFont="1" applyFill="1" applyAlignment="1">
      <alignment vertical="center"/>
    </xf>
    <xf numFmtId="2" fontId="15" fillId="24" borderId="0" xfId="0" applyNumberFormat="1" applyFont="1" applyFill="1" applyAlignment="1">
      <alignment vertical="center"/>
    </xf>
    <xf numFmtId="0" fontId="15" fillId="0" borderId="0" xfId="0" applyFont="1" applyAlignment="1">
      <alignment vertical="center"/>
    </xf>
    <xf numFmtId="0" fontId="53" fillId="0" borderId="0" xfId="1" applyNumberFormat="1" applyFont="1" applyAlignment="1">
      <alignment vertical="center"/>
    </xf>
    <xf numFmtId="165" fontId="52" fillId="0" borderId="0" xfId="3" applyNumberFormat="1" applyFont="1" applyFill="1" applyAlignment="1">
      <alignment horizontal="right" vertical="center"/>
    </xf>
    <xf numFmtId="165" fontId="53" fillId="0" borderId="0" xfId="3" applyNumberFormat="1" applyFont="1" applyAlignment="1">
      <alignment horizontal="right" vertical="center"/>
    </xf>
    <xf numFmtId="2" fontId="65" fillId="0" borderId="0" xfId="0" applyNumberFormat="1" applyFont="1" applyAlignment="1">
      <alignment vertical="center"/>
    </xf>
    <xf numFmtId="3" fontId="53" fillId="0" borderId="0" xfId="1" applyNumberFormat="1" applyFont="1" applyAlignment="1">
      <alignment vertical="center"/>
    </xf>
    <xf numFmtId="5" fontId="65" fillId="0" borderId="0" xfId="3" applyNumberFormat="1" applyFont="1" applyAlignment="1"/>
    <xf numFmtId="3" fontId="14" fillId="0" borderId="0" xfId="1" applyNumberFormat="1" applyFont="1" applyFill="1" applyAlignment="1">
      <alignment wrapText="1"/>
    </xf>
    <xf numFmtId="3" fontId="61" fillId="0" borderId="0" xfId="1" applyNumberFormat="1" applyFont="1" applyAlignment="1">
      <alignment wrapText="1"/>
    </xf>
    <xf numFmtId="3" fontId="65" fillId="0" borderId="0" xfId="1" applyNumberFormat="1" applyFont="1" applyAlignment="1">
      <alignment wrapText="1"/>
    </xf>
    <xf numFmtId="166" fontId="53" fillId="0" borderId="0" xfId="1" applyNumberFormat="1" applyFont="1" applyAlignment="1">
      <alignment vertical="center"/>
    </xf>
    <xf numFmtId="166" fontId="65" fillId="0" borderId="0" xfId="1" applyNumberFormat="1" applyFont="1" applyAlignment="1">
      <alignment vertical="center"/>
    </xf>
    <xf numFmtId="167" fontId="53" fillId="0" borderId="0" xfId="1" applyNumberFormat="1" applyFont="1" applyAlignment="1">
      <alignment vertical="center"/>
    </xf>
    <xf numFmtId="167" fontId="65" fillId="0" borderId="0" xfId="1" applyNumberFormat="1" applyFont="1" applyAlignment="1">
      <alignment vertical="center"/>
    </xf>
    <xf numFmtId="0" fontId="65" fillId="0" borderId="0" xfId="1" applyNumberFormat="1" applyFont="1" applyAlignment="1">
      <alignment vertical="center"/>
    </xf>
    <xf numFmtId="2" fontId="15" fillId="0" borderId="0" xfId="0" applyNumberFormat="1" applyFont="1" applyAlignment="1">
      <alignment vertical="center"/>
    </xf>
    <xf numFmtId="3" fontId="65" fillId="0" borderId="0" xfId="0" applyNumberFormat="1" applyFont="1" applyAlignment="1">
      <alignment vertical="center"/>
    </xf>
    <xf numFmtId="2" fontId="53" fillId="0" borderId="0" xfId="1" applyNumberFormat="1" applyFont="1" applyAlignment="1">
      <alignment vertical="center"/>
    </xf>
    <xf numFmtId="2" fontId="65" fillId="0" borderId="0" xfId="1" applyNumberFormat="1" applyFont="1" applyAlignment="1">
      <alignment vertical="center"/>
    </xf>
    <xf numFmtId="0" fontId="15" fillId="25" borderId="0" xfId="0" applyFont="1" applyFill="1" applyAlignment="1">
      <alignment horizontal="center" vertical="center"/>
    </xf>
    <xf numFmtId="0" fontId="61" fillId="24" borderId="0" xfId="0" applyFont="1" applyFill="1" applyAlignment="1"/>
    <xf numFmtId="0" fontId="15" fillId="24" borderId="0" xfId="0" applyFont="1" applyFill="1" applyAlignment="1">
      <alignment horizontal="right"/>
    </xf>
    <xf numFmtId="167" fontId="15" fillId="24" borderId="0" xfId="0" applyNumberFormat="1" applyFont="1" applyFill="1" applyAlignment="1">
      <alignment horizontal="right"/>
    </xf>
    <xf numFmtId="2" fontId="15" fillId="25" borderId="0" xfId="0" applyNumberFormat="1" applyFont="1" applyFill="1" applyAlignment="1">
      <alignment horizontal="right"/>
    </xf>
    <xf numFmtId="0" fontId="15" fillId="26" borderId="0" xfId="0" applyFont="1" applyFill="1" applyAlignment="1">
      <alignment horizontal="left" vertical="center"/>
    </xf>
    <xf numFmtId="0" fontId="53" fillId="26" borderId="0" xfId="0" applyFont="1" applyFill="1" applyBorder="1"/>
    <xf numFmtId="165" fontId="52" fillId="26" borderId="0" xfId="0" applyNumberFormat="1" applyFont="1" applyFill="1" applyBorder="1" applyAlignment="1">
      <alignment horizontal="right"/>
    </xf>
    <xf numFmtId="2" fontId="65" fillId="26" borderId="0" xfId="0" applyNumberFormat="1" applyFont="1" applyFill="1"/>
    <xf numFmtId="3" fontId="14" fillId="26" borderId="0" xfId="0" applyNumberFormat="1" applyFont="1" applyFill="1"/>
    <xf numFmtId="167" fontId="65" fillId="26" borderId="0" xfId="0" applyNumberFormat="1" applyFont="1" applyFill="1"/>
    <xf numFmtId="2" fontId="14" fillId="26" borderId="0" xfId="0" applyNumberFormat="1" applyFont="1" applyFill="1" applyAlignment="1">
      <alignment horizontal="right"/>
    </xf>
    <xf numFmtId="2" fontId="61" fillId="26" borderId="0" xfId="0" applyNumberFormat="1" applyFont="1" applyFill="1"/>
    <xf numFmtId="3" fontId="52" fillId="26" borderId="0" xfId="0" applyNumberFormat="1" applyFont="1" applyFill="1"/>
    <xf numFmtId="166" fontId="14" fillId="26" borderId="0" xfId="0" applyNumberFormat="1" applyFont="1" applyFill="1"/>
    <xf numFmtId="167" fontId="14" fillId="26" borderId="0" xfId="0" applyNumberFormat="1" applyFont="1" applyFill="1"/>
    <xf numFmtId="2" fontId="53" fillId="26" borderId="0" xfId="0" applyNumberFormat="1" applyFont="1" applyFill="1"/>
    <xf numFmtId="1" fontId="52" fillId="26" borderId="0" xfId="0" applyNumberFormat="1" applyFont="1" applyFill="1" applyAlignment="1">
      <alignment horizontal="right"/>
    </xf>
    <xf numFmtId="0" fontId="65" fillId="26" borderId="0" xfId="0" applyFont="1" applyFill="1"/>
    <xf numFmtId="167" fontId="52" fillId="26" borderId="0" xfId="0" applyNumberFormat="1" applyFont="1" applyFill="1"/>
    <xf numFmtId="2" fontId="52" fillId="26" borderId="0" xfId="0" applyNumberFormat="1" applyFont="1" applyFill="1"/>
    <xf numFmtId="1" fontId="53" fillId="26" borderId="0" xfId="0" applyNumberFormat="1" applyFont="1" applyFill="1" applyAlignment="1">
      <alignment horizontal="right"/>
    </xf>
    <xf numFmtId="166" fontId="52" fillId="26" borderId="0" xfId="0" applyNumberFormat="1" applyFont="1" applyFill="1"/>
    <xf numFmtId="166" fontId="52" fillId="26" borderId="0" xfId="0" applyNumberFormat="1" applyFont="1" applyFill="1" applyAlignment="1">
      <alignment horizontal="right"/>
    </xf>
    <xf numFmtId="2" fontId="14" fillId="26" borderId="0" xfId="0" applyNumberFormat="1" applyFont="1" applyFill="1" applyBorder="1" applyAlignment="1">
      <alignment horizontal="right" vertical="center"/>
    </xf>
    <xf numFmtId="165" fontId="14" fillId="26" borderId="0" xfId="0" applyNumberFormat="1" applyFont="1" applyFill="1" applyAlignment="1">
      <alignment horizontal="right"/>
    </xf>
    <xf numFmtId="1" fontId="14" fillId="26" borderId="0" xfId="0" applyNumberFormat="1" applyFont="1" applyFill="1"/>
    <xf numFmtId="0" fontId="15" fillId="26" borderId="0" xfId="0" applyFont="1" applyFill="1" applyBorder="1" applyAlignment="1">
      <alignment horizontal="right"/>
    </xf>
    <xf numFmtId="2" fontId="45" fillId="26" borderId="0" xfId="0" applyNumberFormat="1" applyFont="1" applyFill="1" applyAlignment="1">
      <alignment horizontal="right" vertical="center"/>
    </xf>
    <xf numFmtId="166" fontId="65" fillId="26" borderId="0" xfId="0" applyNumberFormat="1" applyFont="1" applyFill="1"/>
    <xf numFmtId="166" fontId="65" fillId="26" borderId="0" xfId="0" applyNumberFormat="1" applyFont="1" applyFill="1" applyAlignment="1">
      <alignment horizontal="left" vertical="top" wrapText="1"/>
    </xf>
    <xf numFmtId="167" fontId="15" fillId="26" borderId="0" xfId="0" applyNumberFormat="1" applyFont="1" applyFill="1"/>
    <xf numFmtId="0" fontId="15" fillId="26" borderId="0" xfId="0" applyFont="1" applyFill="1" applyAlignment="1">
      <alignment horizontal="center" vertical="center"/>
    </xf>
    <xf numFmtId="1" fontId="53" fillId="26" borderId="0" xfId="0" applyNumberFormat="1" applyFont="1" applyFill="1"/>
    <xf numFmtId="3" fontId="15" fillId="26" borderId="0" xfId="0" applyNumberFormat="1" applyFont="1" applyFill="1"/>
    <xf numFmtId="3" fontId="65" fillId="26" borderId="0" xfId="0" applyNumberFormat="1" applyFont="1" applyFill="1"/>
    <xf numFmtId="1" fontId="15" fillId="26" borderId="0" xfId="0" applyNumberFormat="1" applyFont="1" applyFill="1"/>
    <xf numFmtId="1" fontId="15" fillId="26" borderId="0" xfId="0" applyNumberFormat="1" applyFont="1" applyFill="1" applyAlignment="1">
      <alignment horizontal="right"/>
    </xf>
    <xf numFmtId="165" fontId="14" fillId="26" borderId="0" xfId="0" applyNumberFormat="1" applyFont="1" applyFill="1" applyBorder="1" applyAlignment="1">
      <alignment horizontal="right"/>
    </xf>
    <xf numFmtId="2" fontId="0" fillId="26" borderId="0" xfId="0" quotePrefix="1" applyNumberFormat="1" applyFont="1" applyFill="1"/>
    <xf numFmtId="2" fontId="15" fillId="26" borderId="0" xfId="0" applyNumberFormat="1" applyFont="1" applyFill="1" applyBorder="1"/>
    <xf numFmtId="10" fontId="53" fillId="26" borderId="0" xfId="6" applyNumberFormat="1" applyFont="1" applyFill="1" applyBorder="1"/>
    <xf numFmtId="2" fontId="14" fillId="26" borderId="0" xfId="0" applyNumberFormat="1" applyFont="1" applyFill="1" applyBorder="1"/>
    <xf numFmtId="2" fontId="61" fillId="26" borderId="0" xfId="0" applyNumberFormat="1" applyFont="1" applyFill="1" applyBorder="1"/>
    <xf numFmtId="0" fontId="65" fillId="26" borderId="0" xfId="0" applyFont="1" applyFill="1" applyBorder="1"/>
    <xf numFmtId="0" fontId="15" fillId="26" borderId="0" xfId="0" quotePrefix="1" applyFont="1" applyFill="1"/>
    <xf numFmtId="0" fontId="52" fillId="26" borderId="0" xfId="0" applyFont="1" applyFill="1" applyBorder="1"/>
    <xf numFmtId="2" fontId="14" fillId="26" borderId="0" xfId="0" applyNumberFormat="1" applyFont="1" applyFill="1" applyBorder="1" applyAlignment="1">
      <alignment horizontal="right"/>
    </xf>
    <xf numFmtId="2" fontId="15" fillId="26" borderId="0" xfId="0" applyNumberFormat="1" applyFont="1" applyFill="1" applyBorder="1" applyAlignment="1">
      <alignment vertical="top" wrapText="1"/>
    </xf>
    <xf numFmtId="164" fontId="14" fillId="26" borderId="0" xfId="0" applyNumberFormat="1" applyFont="1" applyFill="1" applyBorder="1" applyAlignment="1">
      <alignment horizontal="right"/>
    </xf>
    <xf numFmtId="1" fontId="53" fillId="26" borderId="0" xfId="0" applyNumberFormat="1" applyFont="1" applyFill="1" applyBorder="1"/>
    <xf numFmtId="0" fontId="14" fillId="26" borderId="0" xfId="0" quotePrefix="1" applyFont="1" applyFill="1"/>
    <xf numFmtId="165" fontId="53" fillId="26" borderId="0" xfId="0" applyNumberFormat="1" applyFont="1" applyFill="1" applyBorder="1" applyAlignment="1">
      <alignment horizontal="right"/>
    </xf>
    <xf numFmtId="3" fontId="53" fillId="26" borderId="0" xfId="0" applyNumberFormat="1" applyFont="1" applyFill="1" applyBorder="1"/>
    <xf numFmtId="166" fontId="53" fillId="26" borderId="0" xfId="0" applyNumberFormat="1" applyFont="1" applyFill="1" applyBorder="1"/>
    <xf numFmtId="166" fontId="53" fillId="26" borderId="0" xfId="0" applyNumberFormat="1" applyFont="1" applyFill="1" applyBorder="1" applyAlignment="1">
      <alignment horizontal="right"/>
    </xf>
    <xf numFmtId="167" fontId="53" fillId="26" borderId="0" xfId="0" applyNumberFormat="1" applyFont="1" applyFill="1" applyBorder="1"/>
    <xf numFmtId="2" fontId="53" fillId="26" borderId="0" xfId="0" applyNumberFormat="1" applyFont="1" applyFill="1" applyBorder="1"/>
    <xf numFmtId="3" fontId="15" fillId="26" borderId="0" xfId="0" applyNumberFormat="1" applyFont="1" applyFill="1" applyBorder="1"/>
    <xf numFmtId="1" fontId="53" fillId="26" borderId="0" xfId="0" applyNumberFormat="1" applyFont="1" applyFill="1" applyBorder="1" applyAlignment="1">
      <alignment horizontal="right"/>
    </xf>
    <xf numFmtId="2" fontId="68" fillId="26" borderId="0" xfId="0" applyNumberFormat="1" applyFont="1" applyFill="1" applyBorder="1"/>
    <xf numFmtId="10" fontId="68" fillId="26" borderId="0" xfId="0" applyNumberFormat="1" applyFont="1" applyFill="1" applyBorder="1"/>
    <xf numFmtId="0" fontId="15" fillId="26" borderId="0" xfId="0" applyFont="1" applyFill="1" applyBorder="1" applyAlignment="1">
      <alignment horizontal="center" vertical="center"/>
    </xf>
    <xf numFmtId="2" fontId="77" fillId="26" borderId="0" xfId="0" applyNumberFormat="1" applyFont="1" applyFill="1"/>
    <xf numFmtId="2" fontId="78" fillId="26" borderId="0" xfId="0" applyNumberFormat="1" applyFont="1" applyFill="1"/>
    <xf numFmtId="2" fontId="52" fillId="26" borderId="0" xfId="0" applyNumberFormat="1" applyFont="1" applyFill="1" applyBorder="1"/>
    <xf numFmtId="2" fontId="77" fillId="26" borderId="0" xfId="0" applyNumberFormat="1" applyFont="1" applyFill="1" applyBorder="1"/>
    <xf numFmtId="3" fontId="77" fillId="26" borderId="0" xfId="0" applyNumberFormat="1" applyFont="1" applyFill="1"/>
    <xf numFmtId="0" fontId="77" fillId="26" borderId="0" xfId="0" applyFont="1" applyFill="1"/>
    <xf numFmtId="2" fontId="52" fillId="26" borderId="1" xfId="0" applyNumberFormat="1" applyFont="1" applyFill="1" applyBorder="1"/>
    <xf numFmtId="2" fontId="53" fillId="26" borderId="0" xfId="1" applyNumberFormat="1" applyFont="1" applyFill="1"/>
    <xf numFmtId="2" fontId="52" fillId="26" borderId="0" xfId="0" applyNumberFormat="1" applyFont="1" applyFill="1" applyBorder="1" applyAlignment="1">
      <alignment horizontal="right"/>
    </xf>
    <xf numFmtId="2" fontId="52" fillId="26" borderId="1" xfId="1" applyNumberFormat="1" applyFont="1" applyFill="1" applyBorder="1"/>
    <xf numFmtId="2" fontId="52" fillId="26" borderId="1" xfId="1" applyNumberFormat="1" applyFont="1" applyFill="1" applyBorder="1" applyAlignment="1">
      <alignment horizontal="right"/>
    </xf>
    <xf numFmtId="2" fontId="53" fillId="26" borderId="1" xfId="0" applyNumberFormat="1" applyFont="1" applyFill="1" applyBorder="1"/>
    <xf numFmtId="2" fontId="15" fillId="26" borderId="3" xfId="0" applyNumberFormat="1" applyFont="1" applyFill="1" applyBorder="1"/>
    <xf numFmtId="164" fontId="14" fillId="26" borderId="0" xfId="0" applyNumberFormat="1" applyFont="1" applyFill="1"/>
    <xf numFmtId="165" fontId="15" fillId="26" borderId="0" xfId="0" applyNumberFormat="1" applyFont="1" applyFill="1"/>
    <xf numFmtId="1" fontId="15" fillId="26" borderId="0" xfId="0" applyNumberFormat="1" applyFont="1" applyFill="1" applyBorder="1"/>
    <xf numFmtId="168" fontId="62" fillId="26" borderId="0" xfId="10" applyNumberFormat="1" applyFont="1" applyFill="1" applyBorder="1"/>
    <xf numFmtId="2" fontId="15" fillId="26" borderId="0" xfId="0" applyNumberFormat="1" applyFont="1" applyFill="1" applyBorder="1" applyAlignment="1">
      <alignment wrapText="1"/>
    </xf>
    <xf numFmtId="167" fontId="15" fillId="26" borderId="0" xfId="0" applyNumberFormat="1" applyFont="1" applyFill="1" applyBorder="1"/>
    <xf numFmtId="169" fontId="62" fillId="26" borderId="0" xfId="0" applyNumberFormat="1" applyFont="1" applyFill="1"/>
    <xf numFmtId="2" fontId="53" fillId="26" borderId="0" xfId="0" applyNumberFormat="1" applyFont="1" applyFill="1" applyBorder="1" applyAlignment="1">
      <alignment wrapText="1"/>
    </xf>
    <xf numFmtId="169" fontId="62" fillId="26" borderId="0" xfId="11" applyNumberFormat="1" applyFont="1" applyFill="1"/>
    <xf numFmtId="2" fontId="63" fillId="26" borderId="0" xfId="1" applyNumberFormat="1" applyFont="1" applyFill="1"/>
    <xf numFmtId="2" fontId="63" fillId="26" borderId="0" xfId="1" quotePrefix="1" applyNumberFormat="1" applyFont="1" applyFill="1"/>
    <xf numFmtId="165" fontId="15" fillId="26" borderId="1" xfId="0" applyNumberFormat="1" applyFont="1" applyFill="1" applyBorder="1" applyAlignment="1">
      <alignment wrapText="1"/>
    </xf>
    <xf numFmtId="165" fontId="15" fillId="26" borderId="1" xfId="0" applyNumberFormat="1" applyFont="1" applyFill="1" applyBorder="1"/>
    <xf numFmtId="165" fontId="64" fillId="26" borderId="1" xfId="0" applyNumberFormat="1" applyFont="1" applyFill="1" applyBorder="1" applyAlignment="1">
      <alignment wrapText="1"/>
    </xf>
    <xf numFmtId="165" fontId="64" fillId="26" borderId="1" xfId="0" applyNumberFormat="1" applyFont="1" applyFill="1" applyBorder="1"/>
    <xf numFmtId="0" fontId="62" fillId="26" borderId="0" xfId="0" applyFont="1" applyFill="1"/>
    <xf numFmtId="2" fontId="15" fillId="26" borderId="2" xfId="0" applyNumberFormat="1" applyFont="1" applyFill="1" applyBorder="1" applyAlignment="1">
      <alignment wrapText="1"/>
    </xf>
    <xf numFmtId="2" fontId="15" fillId="26" borderId="2" xfId="0" applyNumberFormat="1" applyFont="1" applyFill="1" applyBorder="1"/>
    <xf numFmtId="2" fontId="53" fillId="26" borderId="0" xfId="0" quotePrefix="1" applyNumberFormat="1" applyFont="1" applyFill="1" applyBorder="1"/>
    <xf numFmtId="2" fontId="52" fillId="26" borderId="1" xfId="0" applyNumberFormat="1" applyFont="1" applyFill="1" applyBorder="1" applyAlignment="1">
      <alignment wrapText="1"/>
    </xf>
    <xf numFmtId="2" fontId="52" fillId="26" borderId="1" xfId="0" applyNumberFormat="1" applyFont="1" applyFill="1" applyBorder="1" applyAlignment="1">
      <alignment horizontal="right"/>
    </xf>
    <xf numFmtId="2" fontId="14" fillId="26" borderId="1" xfId="0" applyNumberFormat="1" applyFont="1" applyFill="1" applyBorder="1" applyAlignment="1">
      <alignment wrapText="1"/>
    </xf>
    <xf numFmtId="2" fontId="14" fillId="26" borderId="1" xfId="0" applyNumberFormat="1" applyFont="1" applyFill="1" applyBorder="1" applyAlignment="1">
      <alignment horizontal="right"/>
    </xf>
    <xf numFmtId="164" fontId="15" fillId="26" borderId="0" xfId="0" applyNumberFormat="1" applyFont="1" applyFill="1" applyBorder="1" applyAlignment="1">
      <alignment wrapText="1"/>
    </xf>
    <xf numFmtId="164" fontId="15" fillId="26" borderId="0" xfId="0" applyNumberFormat="1" applyFont="1" applyFill="1" applyBorder="1"/>
    <xf numFmtId="2" fontId="63" fillId="26" borderId="0" xfId="1" applyNumberFormat="1" applyFont="1" applyFill="1" applyBorder="1"/>
    <xf numFmtId="2" fontId="53" fillId="26" borderId="0" xfId="1" applyNumberFormat="1" applyFont="1" applyFill="1" applyBorder="1"/>
    <xf numFmtId="164" fontId="15" fillId="26" borderId="1" xfId="0" applyNumberFormat="1" applyFont="1" applyFill="1" applyBorder="1" applyAlignment="1">
      <alignment vertical="top" wrapText="1"/>
    </xf>
    <xf numFmtId="164" fontId="15" fillId="26" borderId="1" xfId="0" applyNumberFormat="1" applyFont="1" applyFill="1" applyBorder="1" applyAlignment="1">
      <alignment horizontal="left" vertical="top" wrapText="1"/>
    </xf>
    <xf numFmtId="164" fontId="15" fillId="26" borderId="1" xfId="0" applyNumberFormat="1" applyFont="1" applyFill="1" applyBorder="1" applyAlignment="1">
      <alignment wrapText="1"/>
    </xf>
    <xf numFmtId="2" fontId="53" fillId="26" borderId="1" xfId="1" applyNumberFormat="1" applyFont="1" applyFill="1" applyBorder="1"/>
    <xf numFmtId="164" fontId="15" fillId="26" borderId="4" xfId="0" applyNumberFormat="1" applyFont="1" applyFill="1" applyBorder="1" applyAlignment="1">
      <alignment wrapText="1"/>
    </xf>
    <xf numFmtId="164" fontId="15" fillId="26" borderId="4" xfId="0" applyNumberFormat="1" applyFont="1" applyFill="1" applyBorder="1"/>
    <xf numFmtId="164" fontId="14" fillId="26" borderId="0" xfId="0" applyNumberFormat="1" applyFont="1" applyFill="1" applyBorder="1"/>
    <xf numFmtId="2" fontId="66" fillId="26" borderId="0" xfId="1" applyNumberFormat="1" applyFont="1" applyFill="1"/>
    <xf numFmtId="2" fontId="66" fillId="26" borderId="0" xfId="1" applyNumberFormat="1" applyFont="1" applyFill="1" applyBorder="1"/>
    <xf numFmtId="2" fontId="67" fillId="26" borderId="0" xfId="1" applyNumberFormat="1" applyFont="1" applyFill="1" applyBorder="1"/>
    <xf numFmtId="164" fontId="52" fillId="26" borderId="0" xfId="0" applyNumberFormat="1" applyFont="1" applyFill="1"/>
    <xf numFmtId="4" fontId="14" fillId="26" borderId="0" xfId="0" applyNumberFormat="1" applyFont="1" applyFill="1"/>
    <xf numFmtId="164" fontId="15" fillId="26" borderId="4" xfId="0" applyNumberFormat="1" applyFont="1" applyFill="1" applyBorder="1" applyAlignment="1">
      <alignment horizontal="left" wrapText="1"/>
    </xf>
    <xf numFmtId="164" fontId="15" fillId="26" borderId="5" xfId="0" applyNumberFormat="1" applyFont="1" applyFill="1" applyBorder="1" applyAlignment="1">
      <alignment horizontal="left" wrapText="1"/>
    </xf>
    <xf numFmtId="164" fontId="15" fillId="26" borderId="5" xfId="0" applyNumberFormat="1" applyFont="1" applyFill="1" applyBorder="1"/>
    <xf numFmtId="164" fontId="15" fillId="26" borderId="0" xfId="0" quotePrefix="1" applyNumberFormat="1" applyFont="1" applyFill="1" applyAlignment="1">
      <alignment horizontal="right"/>
    </xf>
    <xf numFmtId="4" fontId="14" fillId="26" borderId="4" xfId="0" applyNumberFormat="1" applyFont="1" applyFill="1" applyBorder="1"/>
    <xf numFmtId="2" fontId="15" fillId="26" borderId="0" xfId="1" applyNumberFormat="1" applyFont="1" applyFill="1"/>
    <xf numFmtId="171" fontId="68" fillId="26" borderId="0" xfId="0" applyNumberFormat="1" applyFont="1" applyFill="1"/>
    <xf numFmtId="10" fontId="68" fillId="26" borderId="0" xfId="0" applyNumberFormat="1" applyFont="1" applyFill="1"/>
    <xf numFmtId="1" fontId="15" fillId="26" borderId="0" xfId="0" quotePrefix="1" applyNumberFormat="1" applyFont="1" applyFill="1" applyBorder="1"/>
    <xf numFmtId="2" fontId="15" fillId="26" borderId="0" xfId="0" quotePrefix="1" applyNumberFormat="1" applyFont="1" applyFill="1" applyBorder="1"/>
    <xf numFmtId="167" fontId="15" fillId="26" borderId="0" xfId="0" quotePrefix="1" applyNumberFormat="1" applyFont="1" applyFill="1" applyBorder="1"/>
    <xf numFmtId="0" fontId="69" fillId="26" borderId="0" xfId="1" applyNumberFormat="1" applyFont="1" applyFill="1" applyBorder="1"/>
    <xf numFmtId="2" fontId="70" fillId="26" borderId="0" xfId="1" applyNumberFormat="1" applyFont="1" applyFill="1" applyBorder="1"/>
    <xf numFmtId="2" fontId="68" fillId="26" borderId="0" xfId="0" applyNumberFormat="1" applyFont="1" applyFill="1"/>
    <xf numFmtId="2" fontId="71" fillId="26" borderId="0" xfId="1" applyNumberFormat="1" applyFont="1" applyFill="1" applyBorder="1"/>
    <xf numFmtId="0" fontId="71" fillId="26" borderId="0" xfId="1" applyNumberFormat="1" applyFont="1" applyFill="1" applyBorder="1"/>
    <xf numFmtId="2" fontId="52" fillId="26" borderId="0" xfId="1" applyNumberFormat="1" applyFont="1" applyFill="1" applyBorder="1"/>
    <xf numFmtId="2" fontId="53" fillId="26" borderId="0" xfId="1" applyNumberFormat="1" applyFont="1" applyFill="1" applyBorder="1" applyAlignment="1">
      <alignment wrapText="1"/>
    </xf>
    <xf numFmtId="2" fontId="69" fillId="26" borderId="0" xfId="1" applyNumberFormat="1" applyFont="1" applyFill="1" applyBorder="1"/>
    <xf numFmtId="173" fontId="15" fillId="26" borderId="0" xfId="0" quotePrefix="1" applyNumberFormat="1" applyFont="1" applyFill="1" applyBorder="1"/>
    <xf numFmtId="0" fontId="53" fillId="26" borderId="0" xfId="1" applyNumberFormat="1" applyFont="1" applyFill="1" applyBorder="1"/>
    <xf numFmtId="1" fontId="53" fillId="26" borderId="0" xfId="1" applyNumberFormat="1" applyFont="1" applyFill="1" applyBorder="1"/>
    <xf numFmtId="2" fontId="52" fillId="26" borderId="0" xfId="0" applyNumberFormat="1" applyFont="1" applyFill="1" applyBorder="1" applyAlignment="1">
      <alignment wrapText="1"/>
    </xf>
    <xf numFmtId="0" fontId="72" fillId="26" borderId="0" xfId="8" applyFont="1" applyFill="1"/>
    <xf numFmtId="167" fontId="63" fillId="26" borderId="0" xfId="1" applyNumberFormat="1" applyFont="1" applyFill="1" applyBorder="1"/>
    <xf numFmtId="2" fontId="73" fillId="26" borderId="0" xfId="1" applyNumberFormat="1" applyFont="1" applyFill="1" applyBorder="1"/>
    <xf numFmtId="2" fontId="63" fillId="26" borderId="0" xfId="1" applyNumberFormat="1" applyFont="1" applyFill="1" applyBorder="1" applyAlignment="1">
      <alignment wrapText="1"/>
    </xf>
    <xf numFmtId="2" fontId="74" fillId="26" borderId="0" xfId="1" applyNumberFormat="1" applyFont="1" applyFill="1" applyBorder="1"/>
    <xf numFmtId="40" fontId="14" fillId="26" borderId="0" xfId="0" applyNumberFormat="1" applyFont="1" applyFill="1"/>
    <xf numFmtId="174" fontId="14" fillId="26" borderId="0" xfId="0" applyNumberFormat="1" applyFont="1" applyFill="1"/>
    <xf numFmtId="164" fontId="15" fillId="26" borderId="0" xfId="0" applyNumberFormat="1" applyFont="1" applyFill="1" applyBorder="1" applyAlignment="1">
      <alignment horizontal="left" wrapText="1"/>
    </xf>
    <xf numFmtId="164" fontId="15" fillId="26" borderId="0" xfId="0" quotePrefix="1" applyNumberFormat="1" applyFont="1" applyFill="1" applyBorder="1" applyAlignment="1">
      <alignment horizontal="right"/>
    </xf>
    <xf numFmtId="4" fontId="69" fillId="26" borderId="0" xfId="0" applyNumberFormat="1" applyFont="1" applyFill="1" applyBorder="1"/>
    <xf numFmtId="2" fontId="63" fillId="26" borderId="0" xfId="1" applyNumberFormat="1" applyFont="1" applyFill="1" applyBorder="1" applyAlignment="1">
      <alignment horizontal="left" wrapText="1"/>
    </xf>
    <xf numFmtId="2" fontId="63" fillId="26" borderId="0" xfId="1" applyNumberFormat="1" applyFont="1" applyFill="1" applyBorder="1" applyAlignment="1">
      <alignment horizontal="center" wrapText="1"/>
    </xf>
    <xf numFmtId="2" fontId="75" fillId="26" borderId="0" xfId="1" applyNumberFormat="1" applyFont="1" applyFill="1" applyBorder="1" applyAlignment="1">
      <alignment wrapText="1"/>
    </xf>
    <xf numFmtId="2" fontId="71" fillId="26" borderId="0" xfId="1" applyNumberFormat="1" applyFont="1" applyFill="1" applyBorder="1" applyAlignment="1">
      <alignment wrapText="1"/>
    </xf>
    <xf numFmtId="2" fontId="76" fillId="26" borderId="0" xfId="1" applyNumberFormat="1" applyFont="1" applyFill="1" applyBorder="1"/>
    <xf numFmtId="2" fontId="53" fillId="26" borderId="0" xfId="1" applyNumberFormat="1" applyFont="1" applyFill="1" applyAlignment="1">
      <alignment wrapText="1"/>
    </xf>
    <xf numFmtId="2" fontId="52" fillId="26" borderId="0" xfId="1" applyNumberFormat="1" applyFont="1" applyFill="1" applyAlignment="1">
      <alignment wrapText="1"/>
    </xf>
    <xf numFmtId="0" fontId="0" fillId="26" borderId="1" xfId="0" applyFill="1" applyBorder="1"/>
    <xf numFmtId="0" fontId="0" fillId="26" borderId="0" xfId="0" applyFill="1"/>
    <xf numFmtId="0" fontId="45" fillId="26" borderId="1" xfId="0" applyFont="1" applyFill="1" applyBorder="1" applyAlignment="1">
      <alignment horizontal="center"/>
    </xf>
    <xf numFmtId="0" fontId="45" fillId="26" borderId="22" xfId="0" applyFont="1" applyFill="1" applyBorder="1" applyAlignment="1">
      <alignment horizontal="center"/>
    </xf>
    <xf numFmtId="0" fontId="5" fillId="26" borderId="1" xfId="8" applyFill="1" applyBorder="1"/>
    <xf numFmtId="4" fontId="0" fillId="26" borderId="0" xfId="0" applyNumberFormat="1" applyFill="1"/>
    <xf numFmtId="0" fontId="5" fillId="26" borderId="0" xfId="8" applyFill="1"/>
    <xf numFmtId="0" fontId="45" fillId="26" borderId="0" xfId="0" applyFont="1" applyFill="1"/>
    <xf numFmtId="4" fontId="45" fillId="26" borderId="0" xfId="0" applyNumberFormat="1" applyFont="1" applyFill="1"/>
    <xf numFmtId="4" fontId="56" fillId="26" borderId="0" xfId="63" applyNumberFormat="1" applyFill="1"/>
    <xf numFmtId="4" fontId="0" fillId="26" borderId="1" xfId="0" applyNumberFormat="1" applyFill="1" applyBorder="1"/>
    <xf numFmtId="8" fontId="0" fillId="26" borderId="0" xfId="0" applyNumberFormat="1" applyFill="1"/>
    <xf numFmtId="164" fontId="0" fillId="26" borderId="0" xfId="0" applyNumberFormat="1" applyFill="1"/>
    <xf numFmtId="0" fontId="57" fillId="26" borderId="0" xfId="0" applyFont="1" applyFill="1"/>
    <xf numFmtId="0" fontId="0" fillId="26" borderId="2" xfId="0" applyFill="1" applyBorder="1"/>
    <xf numFmtId="0" fontId="0" fillId="26" borderId="0" xfId="0" applyFill="1" applyBorder="1"/>
    <xf numFmtId="0" fontId="9" fillId="26" borderId="0" xfId="0" applyFont="1" applyFill="1"/>
    <xf numFmtId="0" fontId="9" fillId="26" borderId="2" xfId="0" applyFont="1" applyFill="1" applyBorder="1" applyAlignment="1">
      <alignment vertical="center"/>
    </xf>
    <xf numFmtId="0" fontId="9" fillId="26" borderId="2" xfId="0" applyFont="1" applyFill="1" applyBorder="1"/>
    <xf numFmtId="2" fontId="7" fillId="26" borderId="2" xfId="0" applyNumberFormat="1" applyFont="1" applyFill="1" applyBorder="1"/>
    <xf numFmtId="0" fontId="9" fillId="26" borderId="1" xfId="0" applyFont="1" applyFill="1" applyBorder="1"/>
    <xf numFmtId="0" fontId="9" fillId="26" borderId="0" xfId="0" applyFont="1" applyFill="1" applyAlignment="1">
      <alignment horizontal="center"/>
    </xf>
    <xf numFmtId="0" fontId="4" fillId="26" borderId="0" xfId="62" applyFont="1" applyFill="1"/>
    <xf numFmtId="164" fontId="12" fillId="26" borderId="0" xfId="0" applyNumberFormat="1" applyFont="1" applyFill="1" applyAlignment="1">
      <alignment horizontal="right" vertical="center"/>
    </xf>
    <xf numFmtId="2" fontId="10" fillId="26" borderId="0" xfId="0" applyNumberFormat="1" applyFont="1" applyFill="1"/>
    <xf numFmtId="2" fontId="10" fillId="26" borderId="0" xfId="0" applyNumberFormat="1" applyFont="1" applyFill="1" applyBorder="1"/>
    <xf numFmtId="0" fontId="5" fillId="26" borderId="0" xfId="8" applyFill="1" applyBorder="1"/>
    <xf numFmtId="164" fontId="12" fillId="26" borderId="0" xfId="11" applyNumberFormat="1" applyFont="1" applyFill="1" applyAlignment="1">
      <alignment horizontal="right"/>
    </xf>
    <xf numFmtId="2" fontId="2" fillId="26" borderId="0" xfId="0" applyNumberFormat="1" applyFont="1" applyFill="1" applyBorder="1"/>
    <xf numFmtId="0" fontId="13" fillId="26" borderId="0" xfId="0" applyFont="1" applyFill="1"/>
    <xf numFmtId="0" fontId="9" fillId="26" borderId="0" xfId="0" applyFont="1" applyFill="1" applyAlignment="1">
      <alignment horizontal="left"/>
    </xf>
    <xf numFmtId="170" fontId="12" fillId="26" borderId="0" xfId="0" applyNumberFormat="1" applyFont="1" applyFill="1" applyAlignment="1">
      <alignment horizontal="right"/>
    </xf>
    <xf numFmtId="3" fontId="12" fillId="26" borderId="0" xfId="0" applyNumberFormat="1" applyFont="1" applyFill="1" applyAlignment="1">
      <alignment horizontal="right"/>
    </xf>
    <xf numFmtId="9" fontId="12" fillId="26" borderId="0" xfId="0" applyNumberFormat="1" applyFont="1" applyFill="1" applyBorder="1" applyAlignment="1">
      <alignment horizontal="right" vertical="center"/>
    </xf>
    <xf numFmtId="167" fontId="8" fillId="26" borderId="0" xfId="0" applyNumberFormat="1" applyFont="1" applyFill="1"/>
    <xf numFmtId="0" fontId="9" fillId="26" borderId="0" xfId="0" applyFont="1" applyFill="1" applyBorder="1"/>
    <xf numFmtId="9" fontId="12" fillId="26" borderId="0" xfId="6" applyFont="1" applyFill="1" applyAlignment="1">
      <alignment horizontal="right"/>
    </xf>
    <xf numFmtId="0" fontId="2" fillId="26" borderId="0" xfId="6" applyNumberFormat="1" applyFont="1" applyFill="1" applyBorder="1" applyAlignment="1">
      <alignment horizontal="left"/>
    </xf>
    <xf numFmtId="4" fontId="12" fillId="26" borderId="0" xfId="0" applyNumberFormat="1" applyFont="1" applyFill="1" applyAlignment="1">
      <alignment horizontal="right" vertical="center"/>
    </xf>
    <xf numFmtId="0" fontId="13" fillId="26" borderId="0" xfId="0" applyFont="1" applyFill="1" applyAlignment="1">
      <alignment horizontal="left"/>
    </xf>
    <xf numFmtId="0" fontId="12" fillId="26" borderId="0" xfId="0" applyFont="1" applyFill="1" applyAlignment="1">
      <alignment horizontal="right"/>
    </xf>
    <xf numFmtId="0" fontId="13" fillId="26" borderId="0" xfId="0" applyFont="1" applyFill="1" applyAlignment="1">
      <alignment horizontal="right"/>
    </xf>
    <xf numFmtId="167" fontId="12" fillId="26" borderId="0" xfId="0" applyNumberFormat="1" applyFont="1" applyFill="1" applyAlignment="1">
      <alignment horizontal="right"/>
    </xf>
    <xf numFmtId="0" fontId="9" fillId="26" borderId="0" xfId="0" applyFont="1" applyFill="1" applyAlignment="1">
      <alignment horizontal="right"/>
    </xf>
    <xf numFmtId="2" fontId="12" fillId="26" borderId="0" xfId="0" applyNumberFormat="1" applyFont="1" applyFill="1" applyAlignment="1">
      <alignment horizontal="right"/>
    </xf>
    <xf numFmtId="164" fontId="12" fillId="26" borderId="0" xfId="0" applyNumberFormat="1" applyFont="1" applyFill="1" applyAlignment="1">
      <alignment horizontal="right"/>
    </xf>
    <xf numFmtId="0" fontId="55" fillId="26" borderId="0" xfId="62" applyFill="1" applyAlignment="1">
      <alignment horizontal="right"/>
    </xf>
    <xf numFmtId="0" fontId="55" fillId="26" borderId="0" xfId="62" applyFill="1"/>
    <xf numFmtId="164" fontId="2" fillId="26" borderId="0" xfId="0" applyNumberFormat="1" applyFont="1" applyFill="1" applyAlignment="1">
      <alignment horizontal="right" vertical="top"/>
    </xf>
    <xf numFmtId="10" fontId="2" fillId="26" borderId="0" xfId="0" applyNumberFormat="1" applyFont="1" applyFill="1" applyAlignment="1">
      <alignment horizontal="right" vertical="top"/>
    </xf>
    <xf numFmtId="167" fontId="39" fillId="26" borderId="0" xfId="0" applyNumberFormat="1" applyFont="1" applyFill="1"/>
    <xf numFmtId="9" fontId="2" fillId="26" borderId="0" xfId="0" applyNumberFormat="1" applyFont="1" applyFill="1" applyAlignment="1">
      <alignment horizontal="right" vertical="top"/>
    </xf>
    <xf numFmtId="2" fontId="2" fillId="26" borderId="0" xfId="0" applyNumberFormat="1" applyFont="1" applyFill="1"/>
    <xf numFmtId="10" fontId="2" fillId="26" borderId="0" xfId="0" applyNumberFormat="1" applyFont="1" applyFill="1" applyBorder="1" applyAlignment="1">
      <alignment horizontal="right" vertical="top"/>
    </xf>
    <xf numFmtId="0" fontId="2" fillId="26" borderId="0" xfId="0" applyFont="1" applyFill="1" applyAlignment="1">
      <alignment horizontal="right" vertical="top"/>
    </xf>
    <xf numFmtId="2" fontId="9" fillId="26" borderId="0" xfId="0" applyNumberFormat="1" applyFont="1" applyFill="1"/>
    <xf numFmtId="0" fontId="7" fillId="26" borderId="0" xfId="0" applyFont="1" applyFill="1"/>
    <xf numFmtId="44" fontId="2" fillId="26" borderId="0" xfId="11" applyFont="1" applyFill="1"/>
    <xf numFmtId="0" fontId="11" fillId="26" borderId="0" xfId="0" applyFont="1" applyFill="1"/>
    <xf numFmtId="10" fontId="1" fillId="26" borderId="0" xfId="6" applyNumberFormat="1" applyFont="1" applyFill="1"/>
    <xf numFmtId="0" fontId="1" fillId="26" borderId="0" xfId="0" applyFont="1" applyFill="1"/>
    <xf numFmtId="0" fontId="14" fillId="26" borderId="19" xfId="0" applyFont="1" applyFill="1" applyBorder="1"/>
    <xf numFmtId="0" fontId="15" fillId="26" borderId="6" xfId="0" applyFont="1" applyFill="1" applyBorder="1"/>
    <xf numFmtId="0" fontId="52" fillId="26" borderId="6" xfId="0" applyFont="1" applyFill="1" applyBorder="1" applyAlignment="1">
      <alignment horizontal="center" vertical="center"/>
    </xf>
    <xf numFmtId="0" fontId="52" fillId="26" borderId="20" xfId="0" applyFont="1" applyFill="1" applyBorder="1" applyAlignment="1">
      <alignment horizontal="center" vertical="center"/>
    </xf>
    <xf numFmtId="0" fontId="52" fillId="26" borderId="14" xfId="0" applyFont="1" applyFill="1" applyBorder="1" applyAlignment="1">
      <alignment vertical="center"/>
    </xf>
    <xf numFmtId="0" fontId="52" fillId="26" borderId="36" xfId="0" applyFont="1" applyFill="1" applyBorder="1" applyAlignment="1">
      <alignment horizontal="center" vertical="center"/>
    </xf>
    <xf numFmtId="0" fontId="14" fillId="26" borderId="36" xfId="0" applyFont="1" applyFill="1" applyBorder="1" applyAlignment="1">
      <alignment horizontal="left" vertical="center"/>
    </xf>
    <xf numFmtId="0" fontId="14" fillId="26" borderId="36" xfId="0" applyFont="1" applyFill="1" applyBorder="1" applyAlignment="1">
      <alignment vertical="center"/>
    </xf>
    <xf numFmtId="0" fontId="52" fillId="26" borderId="15" xfId="0" applyFont="1" applyFill="1" applyBorder="1" applyAlignment="1">
      <alignment horizontal="center" vertical="center"/>
    </xf>
    <xf numFmtId="167" fontId="15" fillId="26" borderId="0" xfId="0" applyNumberFormat="1" applyFont="1" applyFill="1" applyBorder="1" applyAlignment="1">
      <alignment horizontal="right"/>
    </xf>
    <xf numFmtId="166" fontId="15" fillId="26" borderId="13" xfId="0" applyNumberFormat="1" applyFont="1" applyFill="1" applyBorder="1" applyAlignment="1">
      <alignment horizontal="right"/>
    </xf>
    <xf numFmtId="0" fontId="15" fillId="26" borderId="12" xfId="0" applyFont="1" applyFill="1" applyBorder="1"/>
    <xf numFmtId="0" fontId="53" fillId="26" borderId="0" xfId="0" applyFont="1" applyFill="1" applyBorder="1" applyAlignment="1"/>
    <xf numFmtId="166" fontId="15" fillId="26" borderId="13" xfId="0" applyNumberFormat="1" applyFont="1" applyFill="1" applyBorder="1"/>
    <xf numFmtId="0" fontId="15" fillId="26" borderId="0" xfId="0" quotePrefix="1" applyFont="1" applyFill="1" applyBorder="1" applyAlignment="1">
      <alignment vertical="center"/>
    </xf>
    <xf numFmtId="0" fontId="15" fillId="26" borderId="14" xfId="0" applyFont="1" applyFill="1" applyBorder="1"/>
    <xf numFmtId="0" fontId="53" fillId="26" borderId="36" xfId="0" applyFont="1" applyFill="1" applyBorder="1" applyAlignment="1"/>
    <xf numFmtId="2" fontId="15" fillId="26" borderId="36" xfId="0" applyNumberFormat="1" applyFont="1" applyFill="1" applyBorder="1"/>
    <xf numFmtId="167" fontId="53" fillId="26" borderId="36" xfId="0" applyNumberFormat="1" applyFont="1" applyFill="1" applyBorder="1"/>
    <xf numFmtId="166" fontId="15" fillId="26" borderId="15" xfId="0" applyNumberFormat="1" applyFont="1" applyFill="1" applyBorder="1"/>
    <xf numFmtId="0" fontId="14" fillId="26" borderId="14" xfId="0" applyFont="1" applyFill="1" applyBorder="1"/>
    <xf numFmtId="0" fontId="14" fillId="26" borderId="36" xfId="0" applyFont="1" applyFill="1" applyBorder="1"/>
    <xf numFmtId="167" fontId="14" fillId="26" borderId="36" xfId="0" applyNumberFormat="1" applyFont="1" applyFill="1" applyBorder="1"/>
    <xf numFmtId="166" fontId="14" fillId="26" borderId="15" xfId="0" applyNumberFormat="1" applyFont="1" applyFill="1" applyBorder="1"/>
    <xf numFmtId="167" fontId="14" fillId="26" borderId="0" xfId="0" applyNumberFormat="1" applyFont="1" applyFill="1" applyBorder="1"/>
    <xf numFmtId="166" fontId="14" fillId="26" borderId="0" xfId="0" applyNumberFormat="1" applyFont="1" applyFill="1" applyBorder="1"/>
    <xf numFmtId="0" fontId="14" fillId="26" borderId="36" xfId="0" applyFont="1" applyFill="1" applyBorder="1" applyAlignment="1"/>
    <xf numFmtId="0" fontId="14" fillId="26" borderId="9" xfId="0" applyFont="1" applyFill="1" applyBorder="1" applyAlignment="1">
      <alignment vertical="center" wrapText="1"/>
    </xf>
    <xf numFmtId="0" fontId="14" fillId="26" borderId="10" xfId="0" applyFont="1" applyFill="1" applyBorder="1" applyAlignment="1">
      <alignment horizontal="left" vertical="center" wrapText="1"/>
    </xf>
    <xf numFmtId="0" fontId="14" fillId="26" borderId="10" xfId="0" applyFont="1" applyFill="1" applyBorder="1" applyAlignment="1">
      <alignment vertical="center" wrapText="1"/>
    </xf>
    <xf numFmtId="0" fontId="14" fillId="26" borderId="10" xfId="0" applyFont="1" applyFill="1" applyBorder="1" applyAlignment="1">
      <alignment horizontal="center" vertical="center" wrapText="1"/>
    </xf>
    <xf numFmtId="0" fontId="14" fillId="26" borderId="11" xfId="0" applyFont="1" applyFill="1" applyBorder="1" applyAlignment="1">
      <alignment horizontal="center" vertical="center" wrapText="1"/>
    </xf>
    <xf numFmtId="0" fontId="14" fillId="26" borderId="0" xfId="0" applyFont="1" applyFill="1" applyBorder="1" applyAlignment="1">
      <alignment horizontal="center" vertical="center"/>
    </xf>
    <xf numFmtId="0" fontId="15" fillId="26" borderId="12" xfId="0" applyFont="1" applyFill="1" applyBorder="1" applyAlignment="1">
      <alignment vertical="center"/>
    </xf>
    <xf numFmtId="0" fontId="15" fillId="26" borderId="0" xfId="0" quotePrefix="1" applyFont="1" applyFill="1" applyBorder="1" applyAlignment="1">
      <alignment horizontal="left" vertical="center"/>
    </xf>
    <xf numFmtId="0" fontId="15" fillId="26" borderId="0" xfId="0" quotePrefix="1" applyFont="1" applyFill="1" applyBorder="1" applyAlignment="1">
      <alignment horizontal="center" vertical="center"/>
    </xf>
    <xf numFmtId="164" fontId="15" fillId="26" borderId="0" xfId="0" applyNumberFormat="1" applyFont="1" applyFill="1" applyBorder="1" applyAlignment="1">
      <alignment horizontal="center" vertical="center"/>
    </xf>
    <xf numFmtId="164" fontId="15" fillId="26" borderId="13" xfId="0" applyNumberFormat="1" applyFont="1" applyFill="1" applyBorder="1" applyAlignment="1">
      <alignment horizontal="center" vertical="center"/>
    </xf>
    <xf numFmtId="0" fontId="15" fillId="26" borderId="0" xfId="0" applyFont="1" applyFill="1" applyBorder="1" applyAlignment="1">
      <alignment horizontal="left" vertical="center"/>
    </xf>
    <xf numFmtId="0" fontId="53" fillId="26" borderId="12" xfId="0" applyFont="1" applyFill="1" applyBorder="1" applyAlignment="1">
      <alignment vertical="center"/>
    </xf>
    <xf numFmtId="0" fontId="53" fillId="26" borderId="0" xfId="0" applyFont="1" applyFill="1" applyBorder="1" applyAlignment="1">
      <alignment horizontal="left" vertical="center"/>
    </xf>
    <xf numFmtId="0" fontId="53" fillId="26" borderId="0" xfId="0" quotePrefix="1" applyFont="1" applyFill="1" applyBorder="1" applyAlignment="1">
      <alignment vertical="center"/>
    </xf>
    <xf numFmtId="0" fontId="53" fillId="26" borderId="0" xfId="0" quotePrefix="1" applyFont="1" applyFill="1" applyBorder="1" applyAlignment="1">
      <alignment horizontal="center" vertical="center"/>
    </xf>
    <xf numFmtId="0" fontId="15" fillId="26" borderId="9" xfId="0" applyFont="1" applyFill="1" applyBorder="1" applyAlignment="1">
      <alignment vertical="center"/>
    </xf>
    <xf numFmtId="0" fontId="15" fillId="26" borderId="10" xfId="0" applyFont="1" applyFill="1" applyBorder="1" applyAlignment="1">
      <alignment horizontal="left" vertical="center"/>
    </xf>
    <xf numFmtId="0" fontId="15" fillId="26" borderId="10" xfId="0" applyFont="1" applyFill="1" applyBorder="1" applyAlignment="1">
      <alignment vertical="center"/>
    </xf>
    <xf numFmtId="0" fontId="15" fillId="26" borderId="10" xfId="0" applyFont="1" applyFill="1" applyBorder="1" applyAlignment="1">
      <alignment horizontal="center" vertical="center"/>
    </xf>
    <xf numFmtId="164" fontId="15" fillId="26" borderId="10" xfId="0" applyNumberFormat="1" applyFont="1" applyFill="1" applyBorder="1" applyAlignment="1">
      <alignment horizontal="center" vertical="center"/>
    </xf>
    <xf numFmtId="164" fontId="15" fillId="26" borderId="11" xfId="0" applyNumberFormat="1" applyFont="1" applyFill="1" applyBorder="1" applyAlignment="1">
      <alignment horizontal="center" vertical="center"/>
    </xf>
    <xf numFmtId="0" fontId="15" fillId="26" borderId="19" xfId="0" applyFont="1" applyFill="1" applyBorder="1"/>
    <xf numFmtId="0" fontId="15" fillId="26" borderId="6" xfId="0" applyFont="1" applyFill="1" applyBorder="1" applyAlignment="1">
      <alignment horizontal="center"/>
    </xf>
    <xf numFmtId="0" fontId="15" fillId="26" borderId="20" xfId="0" applyFont="1" applyFill="1" applyBorder="1" applyAlignment="1">
      <alignment horizontal="center"/>
    </xf>
    <xf numFmtId="164" fontId="53" fillId="26" borderId="0" xfId="0" quotePrefix="1" applyNumberFormat="1" applyFont="1" applyFill="1" applyBorder="1" applyAlignment="1">
      <alignment horizontal="center" vertical="center"/>
    </xf>
    <xf numFmtId="0" fontId="15" fillId="26" borderId="12" xfId="0" applyFont="1" applyFill="1" applyBorder="1" applyAlignment="1">
      <alignment horizontal="left"/>
    </xf>
    <xf numFmtId="2" fontId="15" fillId="26" borderId="13" xfId="0" applyNumberFormat="1" applyFont="1" applyFill="1" applyBorder="1"/>
    <xf numFmtId="4" fontId="15" fillId="26" borderId="13" xfId="0" applyNumberFormat="1" applyFont="1" applyFill="1" applyBorder="1"/>
    <xf numFmtId="164" fontId="53" fillId="26" borderId="0" xfId="0" quotePrefix="1" applyNumberFormat="1" applyFont="1" applyFill="1" applyBorder="1" applyAlignment="1">
      <alignment horizontal="left" vertical="center"/>
    </xf>
    <xf numFmtId="3" fontId="15" fillId="26" borderId="13" xfId="0" applyNumberFormat="1" applyFont="1" applyFill="1" applyBorder="1"/>
    <xf numFmtId="0" fontId="15" fillId="26" borderId="14" xfId="0" applyFont="1" applyFill="1" applyBorder="1" applyAlignment="1">
      <alignment vertical="center"/>
    </xf>
    <xf numFmtId="0" fontId="15" fillId="26" borderId="36" xfId="0" applyFont="1" applyFill="1" applyBorder="1" applyAlignment="1">
      <alignment horizontal="left" vertical="center"/>
    </xf>
    <xf numFmtId="0" fontId="15" fillId="26" borderId="36" xfId="0" quotePrefix="1" applyFont="1" applyFill="1" applyBorder="1" applyAlignment="1">
      <alignment vertical="center"/>
    </xf>
    <xf numFmtId="164" fontId="15" fillId="26" borderId="36" xfId="0" applyNumberFormat="1" applyFont="1" applyFill="1" applyBorder="1" applyAlignment="1">
      <alignment horizontal="center" vertical="center"/>
    </xf>
    <xf numFmtId="164" fontId="15" fillId="26" borderId="15" xfId="0" applyNumberFormat="1" applyFont="1" applyFill="1" applyBorder="1" applyAlignment="1">
      <alignment horizontal="center" vertical="center"/>
    </xf>
    <xf numFmtId="0" fontId="15" fillId="26" borderId="36" xfId="0" applyFont="1" applyFill="1" applyBorder="1" applyAlignment="1">
      <alignment vertical="center"/>
    </xf>
    <xf numFmtId="0" fontId="14" fillId="26" borderId="0" xfId="0" applyFont="1" applyFill="1" applyBorder="1" applyAlignment="1">
      <alignment vertical="center"/>
    </xf>
    <xf numFmtId="0" fontId="14" fillId="26" borderId="19" xfId="0" applyFont="1" applyFill="1" applyBorder="1" applyAlignment="1">
      <alignment vertical="center"/>
    </xf>
    <xf numFmtId="0" fontId="14" fillId="26" borderId="6" xfId="0" applyFont="1" applyFill="1" applyBorder="1" applyAlignment="1">
      <alignment vertical="center"/>
    </xf>
    <xf numFmtId="0" fontId="14" fillId="26" borderId="6" xfId="0" applyFont="1" applyFill="1" applyBorder="1" applyAlignment="1">
      <alignment horizontal="left" vertical="center"/>
    </xf>
    <xf numFmtId="0" fontId="14" fillId="26" borderId="6" xfId="0" applyFont="1" applyFill="1" applyBorder="1" applyAlignment="1">
      <alignment horizontal="center" vertical="center"/>
    </xf>
    <xf numFmtId="0" fontId="15" fillId="26" borderId="19" xfId="0" applyFont="1" applyFill="1" applyBorder="1" applyAlignment="1">
      <alignment horizontal="center" vertical="center"/>
    </xf>
    <xf numFmtId="0" fontId="15" fillId="26" borderId="6" xfId="0" applyFont="1" applyFill="1" applyBorder="1" applyAlignment="1">
      <alignment horizontal="left" vertical="center"/>
    </xf>
    <xf numFmtId="0" fontId="15" fillId="26" borderId="6" xfId="0" applyFont="1" applyFill="1" applyBorder="1" applyAlignment="1">
      <alignment horizontal="center" vertical="center"/>
    </xf>
    <xf numFmtId="164" fontId="15" fillId="26" borderId="6" xfId="0" applyNumberFormat="1" applyFont="1" applyFill="1" applyBorder="1" applyAlignment="1">
      <alignment horizontal="center" vertical="center"/>
    </xf>
    <xf numFmtId="0" fontId="15" fillId="26" borderId="9" xfId="0" applyFont="1" applyFill="1" applyBorder="1"/>
    <xf numFmtId="0" fontId="15" fillId="26" borderId="3" xfId="0" applyFont="1" applyFill="1" applyBorder="1"/>
    <xf numFmtId="0" fontId="14" fillId="26" borderId="6" xfId="0" applyFont="1" applyFill="1" applyBorder="1"/>
    <xf numFmtId="0" fontId="52" fillId="26" borderId="0" xfId="0" applyFont="1" applyFill="1" applyBorder="1" applyAlignment="1">
      <alignment horizontal="center" vertical="center"/>
    </xf>
    <xf numFmtId="0" fontId="14" fillId="26" borderId="0" xfId="0" applyFont="1" applyFill="1" applyBorder="1" applyAlignment="1">
      <alignment horizontal="right"/>
    </xf>
    <xf numFmtId="166" fontId="14" fillId="26" borderId="0" xfId="0" applyNumberFormat="1" applyFont="1" applyFill="1" applyBorder="1" applyAlignment="1">
      <alignment horizontal="right"/>
    </xf>
    <xf numFmtId="0" fontId="15" fillId="26" borderId="36" xfId="0" applyFont="1" applyFill="1" applyBorder="1"/>
    <xf numFmtId="0" fontId="14" fillId="26" borderId="7" xfId="0" applyFont="1" applyFill="1" applyBorder="1" applyAlignment="1"/>
    <xf numFmtId="0" fontId="14" fillId="26" borderId="0" xfId="0" applyFont="1" applyFill="1" applyAlignment="1">
      <alignment horizontal="left"/>
    </xf>
    <xf numFmtId="0" fontId="14" fillId="26" borderId="9" xfId="0" applyFont="1" applyFill="1" applyBorder="1"/>
    <xf numFmtId="0" fontId="14" fillId="26" borderId="10" xfId="0" applyFont="1" applyFill="1" applyBorder="1"/>
    <xf numFmtId="2" fontId="15" fillId="26" borderId="12" xfId="0" applyNumberFormat="1" applyFont="1" applyFill="1" applyBorder="1" applyAlignment="1">
      <alignment horizontal="center"/>
    </xf>
    <xf numFmtId="0" fontId="14" fillId="26" borderId="12" xfId="0" applyFont="1" applyFill="1" applyBorder="1"/>
    <xf numFmtId="164" fontId="14" fillId="26" borderId="0" xfId="0" applyNumberFormat="1" applyFont="1" applyFill="1" applyBorder="1" applyAlignment="1">
      <alignment horizontal="center"/>
    </xf>
    <xf numFmtId="3" fontId="15" fillId="26" borderId="0" xfId="0" applyNumberFormat="1" applyFont="1" applyFill="1" applyBorder="1" applyAlignment="1">
      <alignment horizontal="center"/>
    </xf>
    <xf numFmtId="2" fontId="15" fillId="26" borderId="14" xfId="0" applyNumberFormat="1" applyFont="1" applyFill="1" applyBorder="1" applyAlignment="1">
      <alignment horizontal="center"/>
    </xf>
    <xf numFmtId="0" fontId="15" fillId="26" borderId="10" xfId="0" applyFont="1" applyFill="1" applyBorder="1"/>
    <xf numFmtId="164" fontId="15" fillId="26" borderId="10" xfId="0" applyNumberFormat="1" applyFont="1" applyFill="1" applyBorder="1" applyAlignment="1">
      <alignment horizontal="center"/>
    </xf>
    <xf numFmtId="164" fontId="15" fillId="26" borderId="11" xfId="0" applyNumberFormat="1" applyFont="1" applyFill="1" applyBorder="1" applyAlignment="1">
      <alignment horizontal="center"/>
    </xf>
    <xf numFmtId="2" fontId="15" fillId="26" borderId="9" xfId="0" applyNumberFormat="1" applyFont="1" applyFill="1" applyBorder="1" applyAlignment="1">
      <alignment horizontal="center"/>
    </xf>
    <xf numFmtId="164" fontId="15" fillId="26" borderId="10" xfId="0" applyNumberFormat="1" applyFont="1" applyFill="1" applyBorder="1"/>
    <xf numFmtId="0" fontId="0" fillId="26" borderId="0" xfId="0" applyFont="1" applyFill="1" applyAlignment="1">
      <alignment horizontal="left" vertical="top" wrapText="1"/>
    </xf>
    <xf numFmtId="0" fontId="14" fillId="26" borderId="16" xfId="0" applyFont="1" applyFill="1" applyBorder="1"/>
    <xf numFmtId="0" fontId="14" fillId="26" borderId="17" xfId="0" applyFont="1" applyFill="1" applyBorder="1"/>
    <xf numFmtId="0" fontId="14" fillId="26" borderId="17" xfId="0" applyFont="1" applyFill="1" applyBorder="1" applyAlignment="1">
      <alignment horizontal="center"/>
    </xf>
    <xf numFmtId="0" fontId="14" fillId="26" borderId="23" xfId="0" applyFont="1" applyFill="1" applyBorder="1" applyAlignment="1">
      <alignment horizontal="center"/>
    </xf>
    <xf numFmtId="0" fontId="15" fillId="26" borderId="8" xfId="0" applyFont="1" applyFill="1" applyBorder="1"/>
    <xf numFmtId="164" fontId="53" fillId="26" borderId="0" xfId="0" applyNumberFormat="1" applyFont="1" applyFill="1" applyBorder="1" applyAlignment="1">
      <alignment horizontal="center"/>
    </xf>
    <xf numFmtId="164" fontId="15" fillId="26" borderId="13" xfId="0" applyNumberFormat="1" applyFont="1" applyFill="1" applyBorder="1" applyAlignment="1">
      <alignment horizontal="center"/>
    </xf>
    <xf numFmtId="0" fontId="15" fillId="26" borderId="26" xfId="0" applyFont="1" applyFill="1" applyBorder="1"/>
    <xf numFmtId="0" fontId="15" fillId="26" borderId="7" xfId="0" applyFont="1" applyFill="1" applyBorder="1" applyAlignment="1">
      <alignment vertical="center"/>
    </xf>
    <xf numFmtId="0" fontId="15" fillId="26" borderId="7" xfId="0" applyFont="1" applyFill="1" applyBorder="1" applyAlignment="1">
      <alignment horizontal="center"/>
    </xf>
    <xf numFmtId="164" fontId="15" fillId="26" borderId="7" xfId="0" applyNumberFormat="1" applyFont="1" applyFill="1" applyBorder="1" applyAlignment="1">
      <alignment horizontal="center"/>
    </xf>
    <xf numFmtId="164" fontId="15" fillId="26" borderId="15" xfId="0" applyNumberFormat="1" applyFont="1" applyFill="1" applyBorder="1" applyAlignment="1">
      <alignment horizontal="center"/>
    </xf>
    <xf numFmtId="0" fontId="15" fillId="26" borderId="10" xfId="0" applyFont="1" applyFill="1" applyBorder="1" applyAlignment="1">
      <alignment horizontal="center"/>
    </xf>
    <xf numFmtId="0" fontId="0" fillId="26" borderId="0" xfId="0" applyFont="1" applyFill="1" applyBorder="1" applyAlignment="1">
      <alignment vertical="center"/>
    </xf>
    <xf numFmtId="0" fontId="15" fillId="26" borderId="19" xfId="0" applyFont="1" applyFill="1" applyBorder="1" applyAlignment="1">
      <alignment vertical="center"/>
    </xf>
    <xf numFmtId="0" fontId="15" fillId="26" borderId="6" xfId="0" quotePrefix="1" applyFont="1" applyFill="1" applyBorder="1" applyAlignment="1">
      <alignment vertical="center"/>
    </xf>
    <xf numFmtId="164" fontId="15" fillId="26" borderId="20" xfId="0" applyNumberFormat="1" applyFont="1" applyFill="1" applyBorder="1" applyAlignment="1">
      <alignment horizontal="center" vertical="center"/>
    </xf>
    <xf numFmtId="0" fontId="14" fillId="26" borderId="12" xfId="0" applyFont="1" applyFill="1" applyBorder="1" applyAlignment="1">
      <alignment vertical="center"/>
    </xf>
    <xf numFmtId="2" fontId="14" fillId="26" borderId="0" xfId="0" applyNumberFormat="1" applyFont="1" applyFill="1" applyBorder="1" applyAlignment="1">
      <alignment horizontal="left" vertical="center"/>
    </xf>
    <xf numFmtId="0" fontId="14" fillId="26" borderId="0" xfId="0" quotePrefix="1" applyFont="1" applyFill="1" applyBorder="1" applyAlignment="1">
      <alignment vertical="center"/>
    </xf>
    <xf numFmtId="164" fontId="14" fillId="26" borderId="0" xfId="0" applyNumberFormat="1" applyFont="1" applyFill="1" applyBorder="1" applyAlignment="1">
      <alignment horizontal="center" vertical="center"/>
    </xf>
    <xf numFmtId="2" fontId="0" fillId="26" borderId="0" xfId="0" applyNumberFormat="1" applyFont="1" applyFill="1" applyAlignment="1">
      <alignment horizontal="center"/>
    </xf>
    <xf numFmtId="0" fontId="0" fillId="26" borderId="0" xfId="0" applyFont="1" applyFill="1" applyBorder="1" applyAlignment="1">
      <alignment horizontal="left" vertical="top"/>
    </xf>
    <xf numFmtId="164" fontId="0" fillId="26" borderId="0" xfId="0" applyNumberFormat="1" applyFont="1" applyFill="1" applyBorder="1" applyAlignment="1">
      <alignment horizontal="left" vertical="top"/>
    </xf>
    <xf numFmtId="164" fontId="0" fillId="26" borderId="0" xfId="0" applyNumberFormat="1" applyFont="1" applyFill="1" applyBorder="1"/>
    <xf numFmtId="0" fontId="14" fillId="26" borderId="19" xfId="0" applyFont="1" applyFill="1" applyBorder="1" applyAlignment="1">
      <alignment horizontal="center"/>
    </xf>
    <xf numFmtId="0" fontId="52" fillId="26" borderId="14" xfId="0" applyFont="1" applyFill="1" applyBorder="1" applyAlignment="1">
      <alignment horizontal="center" vertical="center"/>
    </xf>
    <xf numFmtId="0" fontId="14" fillId="26" borderId="36" xfId="0" applyFont="1" applyFill="1" applyBorder="1" applyAlignment="1">
      <alignment horizontal="center" vertical="center"/>
    </xf>
    <xf numFmtId="0" fontId="15" fillId="26" borderId="36" xfId="0" applyFont="1" applyFill="1" applyBorder="1" applyAlignment="1">
      <alignment horizontal="center"/>
    </xf>
    <xf numFmtId="0" fontId="15" fillId="26" borderId="36" xfId="0" applyFont="1" applyFill="1" applyBorder="1" applyAlignment="1">
      <alignment horizontal="right"/>
    </xf>
    <xf numFmtId="164" fontId="53" fillId="26" borderId="15" xfId="0" applyNumberFormat="1" applyFont="1" applyFill="1" applyBorder="1" applyAlignment="1">
      <alignment horizontal="right"/>
    </xf>
    <xf numFmtId="0" fontId="59" fillId="26" borderId="0" xfId="0" applyFont="1" applyFill="1"/>
    <xf numFmtId="166" fontId="15" fillId="26" borderId="10" xfId="0" applyNumberFormat="1" applyFont="1" applyFill="1" applyBorder="1" applyAlignment="1">
      <alignment horizontal="right"/>
    </xf>
    <xf numFmtId="166" fontId="15" fillId="26" borderId="37" xfId="0" applyNumberFormat="1" applyFont="1" applyFill="1" applyBorder="1" applyAlignment="1">
      <alignment horizontal="right"/>
    </xf>
    <xf numFmtId="2" fontId="15" fillId="26" borderId="37" xfId="0" applyNumberFormat="1" applyFont="1" applyFill="1" applyBorder="1" applyAlignment="1">
      <alignment horizontal="right"/>
    </xf>
    <xf numFmtId="0" fontId="14" fillId="26" borderId="6" xfId="0" applyFont="1" applyFill="1" applyBorder="1" applyAlignment="1">
      <alignment horizontal="center" vertical="center" wrapText="1"/>
    </xf>
    <xf numFmtId="0" fontId="14" fillId="26" borderId="20" xfId="0" applyFont="1" applyFill="1" applyBorder="1" applyAlignment="1">
      <alignment horizontal="center" vertical="center" wrapText="1"/>
    </xf>
    <xf numFmtId="164" fontId="15" fillId="26" borderId="12" xfId="0" applyNumberFormat="1" applyFont="1" applyFill="1" applyBorder="1"/>
    <xf numFmtId="164" fontId="15" fillId="26" borderId="36" xfId="0" applyNumberFormat="1" applyFont="1" applyFill="1" applyBorder="1" applyAlignment="1">
      <alignment horizontal="right" vertical="center"/>
    </xf>
    <xf numFmtId="164" fontId="53" fillId="26" borderId="36" xfId="0" applyNumberFormat="1" applyFont="1" applyFill="1" applyBorder="1" applyAlignment="1">
      <alignment horizontal="right" vertical="center"/>
    </xf>
    <xf numFmtId="164" fontId="53" fillId="26" borderId="6" xfId="0" applyNumberFormat="1" applyFont="1" applyFill="1" applyBorder="1" applyAlignment="1">
      <alignment horizontal="right" vertical="center"/>
    </xf>
    <xf numFmtId="2" fontId="53" fillId="26" borderId="6" xfId="0" applyNumberFormat="1" applyFont="1" applyFill="1" applyBorder="1" applyAlignment="1">
      <alignment horizontal="right"/>
    </xf>
    <xf numFmtId="164" fontId="15" fillId="26" borderId="20" xfId="0" applyNumberFormat="1" applyFont="1" applyFill="1" applyBorder="1" applyAlignment="1">
      <alignment horizontal="right" vertical="center"/>
    </xf>
    <xf numFmtId="164" fontId="53" fillId="26" borderId="0" xfId="0" applyNumberFormat="1" applyFont="1" applyFill="1" applyBorder="1" applyAlignment="1">
      <alignment horizontal="right" vertical="center"/>
    </xf>
    <xf numFmtId="2" fontId="53" fillId="26" borderId="0" xfId="0" applyNumberFormat="1" applyFont="1" applyFill="1" applyBorder="1" applyAlignment="1">
      <alignment horizontal="right"/>
    </xf>
    <xf numFmtId="164" fontId="15" fillId="26" borderId="13" xfId="0" applyNumberFormat="1" applyFont="1" applyFill="1" applyBorder="1" applyAlignment="1">
      <alignment horizontal="right" vertical="center"/>
    </xf>
    <xf numFmtId="2" fontId="53" fillId="26" borderId="36" xfId="0" applyNumberFormat="1" applyFont="1" applyFill="1" applyBorder="1" applyAlignment="1">
      <alignment horizontal="right"/>
    </xf>
    <xf numFmtId="0" fontId="15" fillId="26" borderId="36" xfId="0" applyFont="1" applyFill="1" applyBorder="1" applyAlignment="1">
      <alignment horizontal="right" vertical="center"/>
    </xf>
    <xf numFmtId="0" fontId="14" fillId="26" borderId="1" xfId="0" applyFont="1" applyFill="1" applyBorder="1"/>
    <xf numFmtId="164" fontId="14" fillId="26" borderId="1" xfId="0" applyNumberFormat="1" applyFont="1" applyFill="1" applyBorder="1"/>
    <xf numFmtId="4" fontId="14" fillId="26" borderId="1" xfId="0" applyNumberFormat="1" applyFont="1" applyFill="1" applyBorder="1"/>
    <xf numFmtId="2" fontId="53" fillId="24" borderId="3" xfId="0" applyNumberFormat="1" applyFont="1" applyFill="1" applyBorder="1"/>
    <xf numFmtId="1" fontId="53" fillId="24" borderId="0" xfId="0" applyNumberFormat="1" applyFont="1" applyFill="1" applyBorder="1"/>
    <xf numFmtId="2" fontId="53" fillId="24" borderId="0" xfId="0" applyNumberFormat="1" applyFont="1" applyFill="1" applyBorder="1" applyAlignment="1">
      <alignment wrapText="1"/>
    </xf>
    <xf numFmtId="167" fontId="53" fillId="24" borderId="0" xfId="0" applyNumberFormat="1" applyFont="1" applyFill="1" applyBorder="1"/>
    <xf numFmtId="165" fontId="53" fillId="24" borderId="1" xfId="0" applyNumberFormat="1" applyFont="1" applyFill="1" applyBorder="1" applyAlignment="1">
      <alignment wrapText="1"/>
    </xf>
    <xf numFmtId="165" fontId="53" fillId="24" borderId="1" xfId="0" applyNumberFormat="1" applyFont="1" applyFill="1" applyBorder="1"/>
    <xf numFmtId="2" fontId="53" fillId="24" borderId="0" xfId="0" applyNumberFormat="1" applyFont="1" applyFill="1" applyBorder="1"/>
    <xf numFmtId="2" fontId="52" fillId="24" borderId="1" xfId="0" applyNumberFormat="1" applyFont="1" applyFill="1" applyBorder="1" applyAlignment="1">
      <alignment wrapText="1"/>
    </xf>
    <xf numFmtId="2" fontId="52" fillId="24" borderId="1" xfId="0" applyNumberFormat="1" applyFont="1" applyFill="1" applyBorder="1" applyAlignment="1">
      <alignment horizontal="right"/>
    </xf>
    <xf numFmtId="164" fontId="53" fillId="24" borderId="0" xfId="0" applyNumberFormat="1" applyFont="1" applyFill="1" applyBorder="1" applyAlignment="1">
      <alignment wrapText="1"/>
    </xf>
    <xf numFmtId="164" fontId="53" fillId="24" borderId="0" xfId="0" applyNumberFormat="1" applyFont="1" applyFill="1" applyBorder="1"/>
    <xf numFmtId="164" fontId="53" fillId="24" borderId="1" xfId="0" applyNumberFormat="1" applyFont="1" applyFill="1" applyBorder="1" applyAlignment="1">
      <alignment wrapText="1"/>
    </xf>
    <xf numFmtId="164" fontId="53" fillId="24" borderId="1" xfId="0" applyNumberFormat="1" applyFont="1" applyFill="1" applyBorder="1"/>
    <xf numFmtId="164" fontId="53" fillId="24" borderId="4" xfId="0" applyNumberFormat="1" applyFont="1" applyFill="1" applyBorder="1" applyAlignment="1">
      <alignment wrapText="1"/>
    </xf>
    <xf numFmtId="164" fontId="53" fillId="24" borderId="4" xfId="0" applyNumberFormat="1" applyFont="1" applyFill="1" applyBorder="1"/>
    <xf numFmtId="164" fontId="53" fillId="24" borderId="4" xfId="0" applyNumberFormat="1" applyFont="1" applyFill="1" applyBorder="1" applyAlignment="1">
      <alignment horizontal="left" wrapText="1"/>
    </xf>
    <xf numFmtId="164" fontId="53" fillId="24" borderId="5" xfId="0" applyNumberFormat="1" applyFont="1" applyFill="1" applyBorder="1" applyAlignment="1">
      <alignment horizontal="left" wrapText="1"/>
    </xf>
    <xf numFmtId="164" fontId="53" fillId="24" borderId="5" xfId="0" applyNumberFormat="1" applyFont="1" applyFill="1" applyBorder="1"/>
    <xf numFmtId="164" fontId="53" fillId="24" borderId="0" xfId="0" applyNumberFormat="1" applyFont="1" applyFill="1"/>
    <xf numFmtId="164" fontId="53" fillId="24" borderId="0" xfId="0" quotePrefix="1" applyNumberFormat="1" applyFont="1" applyFill="1" applyAlignment="1">
      <alignment horizontal="right"/>
    </xf>
    <xf numFmtId="4" fontId="52" fillId="24" borderId="4" xfId="0" applyNumberFormat="1" applyFont="1" applyFill="1" applyBorder="1"/>
    <xf numFmtId="2" fontId="15" fillId="24" borderId="3" xfId="0" applyNumberFormat="1" applyFont="1" applyFill="1" applyBorder="1"/>
    <xf numFmtId="1" fontId="15" fillId="24" borderId="0" xfId="0" applyNumberFormat="1" applyFont="1" applyFill="1" applyBorder="1"/>
    <xf numFmtId="2" fontId="15" fillId="24" borderId="0" xfId="0" applyNumberFormat="1" applyFont="1" applyFill="1" applyBorder="1" applyAlignment="1">
      <alignment wrapText="1"/>
    </xf>
    <xf numFmtId="167" fontId="15" fillId="24" borderId="0" xfId="0" applyNumberFormat="1" applyFont="1" applyFill="1" applyBorder="1"/>
    <xf numFmtId="165" fontId="64" fillId="24" borderId="1" xfId="0" applyNumberFormat="1" applyFont="1" applyFill="1" applyBorder="1" applyAlignment="1">
      <alignment wrapText="1"/>
    </xf>
    <xf numFmtId="165" fontId="15" fillId="24" borderId="1" xfId="0" applyNumberFormat="1" applyFont="1" applyFill="1" applyBorder="1"/>
    <xf numFmtId="164" fontId="15" fillId="24" borderId="0" xfId="0" applyNumberFormat="1" applyFont="1" applyFill="1" applyBorder="1" applyAlignment="1">
      <alignment wrapText="1"/>
    </xf>
    <xf numFmtId="164" fontId="15" fillId="24" borderId="0" xfId="0" applyNumberFormat="1" applyFont="1" applyFill="1" applyBorder="1"/>
    <xf numFmtId="164" fontId="15" fillId="24" borderId="1" xfId="0" applyNumberFormat="1" applyFont="1" applyFill="1" applyBorder="1" applyAlignment="1">
      <alignment vertical="top" wrapText="1"/>
    </xf>
    <xf numFmtId="164" fontId="15" fillId="24" borderId="1" xfId="0" applyNumberFormat="1" applyFont="1" applyFill="1" applyBorder="1"/>
    <xf numFmtId="164" fontId="15" fillId="24" borderId="4" xfId="0" applyNumberFormat="1" applyFont="1" applyFill="1" applyBorder="1" applyAlignment="1">
      <alignment wrapText="1"/>
    </xf>
    <xf numFmtId="164" fontId="15" fillId="24" borderId="4" xfId="0" applyNumberFormat="1" applyFont="1" applyFill="1" applyBorder="1"/>
    <xf numFmtId="164" fontId="15" fillId="24" borderId="1" xfId="0" applyNumberFormat="1" applyFont="1" applyFill="1" applyBorder="1" applyAlignment="1">
      <alignment wrapText="1"/>
    </xf>
    <xf numFmtId="164" fontId="15" fillId="24" borderId="4" xfId="0" applyNumberFormat="1" applyFont="1" applyFill="1" applyBorder="1" applyAlignment="1">
      <alignment horizontal="left" wrapText="1"/>
    </xf>
    <xf numFmtId="164" fontId="15" fillId="24" borderId="5" xfId="0" applyNumberFormat="1" applyFont="1" applyFill="1" applyBorder="1" applyAlignment="1">
      <alignment horizontal="left" wrapText="1"/>
    </xf>
    <xf numFmtId="164" fontId="15" fillId="24" borderId="5" xfId="0" applyNumberFormat="1" applyFont="1" applyFill="1" applyBorder="1"/>
    <xf numFmtId="164" fontId="15" fillId="24" borderId="0" xfId="0" applyNumberFormat="1" applyFont="1" applyFill="1"/>
    <xf numFmtId="164" fontId="15" fillId="24" borderId="0" xfId="0" quotePrefix="1" applyNumberFormat="1" applyFont="1" applyFill="1" applyAlignment="1">
      <alignment horizontal="right"/>
    </xf>
    <xf numFmtId="4" fontId="14" fillId="24" borderId="4" xfId="0" applyNumberFormat="1" applyFont="1" applyFill="1" applyBorder="1"/>
    <xf numFmtId="165" fontId="15" fillId="24" borderId="1" xfId="0" applyNumberFormat="1" applyFont="1" applyFill="1" applyBorder="1" applyAlignment="1">
      <alignment wrapText="1"/>
    </xf>
    <xf numFmtId="2" fontId="53" fillId="24" borderId="1" xfId="0" applyNumberFormat="1" applyFont="1" applyFill="1" applyBorder="1" applyAlignment="1">
      <alignment wrapText="1"/>
    </xf>
    <xf numFmtId="2" fontId="53" fillId="24" borderId="1" xfId="0" applyNumberFormat="1" applyFont="1" applyFill="1" applyBorder="1" applyAlignment="1">
      <alignment horizontal="right"/>
    </xf>
    <xf numFmtId="4" fontId="15" fillId="24" borderId="4" xfId="0" applyNumberFormat="1" applyFont="1" applyFill="1" applyBorder="1"/>
    <xf numFmtId="2" fontId="53" fillId="24" borderId="2" xfId="0" applyNumberFormat="1" applyFont="1" applyFill="1" applyBorder="1" applyAlignment="1">
      <alignment wrapText="1"/>
    </xf>
    <xf numFmtId="2" fontId="53" fillId="24" borderId="2" xfId="0" applyNumberFormat="1" applyFont="1" applyFill="1" applyBorder="1"/>
    <xf numFmtId="2" fontId="53" fillId="24" borderId="0" xfId="1" applyNumberFormat="1" applyFont="1" applyFill="1"/>
    <xf numFmtId="165" fontId="53" fillId="24" borderId="0" xfId="1" applyNumberFormat="1" applyFont="1" applyFill="1"/>
    <xf numFmtId="2" fontId="52" fillId="24" borderId="2" xfId="1" applyNumberFormat="1" applyFont="1" applyFill="1" applyBorder="1"/>
    <xf numFmtId="2" fontId="52" fillId="24" borderId="2" xfId="1" applyNumberFormat="1" applyFont="1" applyFill="1" applyBorder="1" applyAlignment="1">
      <alignment horizontal="right"/>
    </xf>
    <xf numFmtId="2" fontId="53" fillId="24" borderId="1" xfId="1" applyNumberFormat="1" applyFont="1" applyFill="1" applyBorder="1"/>
    <xf numFmtId="2" fontId="53" fillId="24" borderId="4" xfId="1" applyNumberFormat="1" applyFont="1" applyFill="1" applyBorder="1"/>
    <xf numFmtId="2" fontId="53" fillId="24" borderId="5" xfId="1" applyNumberFormat="1" applyFont="1" applyFill="1" applyBorder="1"/>
    <xf numFmtId="2" fontId="15" fillId="24" borderId="4" xfId="1" applyNumberFormat="1" applyFont="1" applyFill="1" applyBorder="1"/>
    <xf numFmtId="2" fontId="53" fillId="24" borderId="0" xfId="1" applyNumberFormat="1" applyFont="1" applyFill="1" applyAlignment="1">
      <alignment horizontal="right"/>
    </xf>
    <xf numFmtId="2" fontId="53" fillId="24" borderId="4" xfId="1" applyNumberFormat="1" applyFont="1" applyFill="1" applyBorder="1" applyAlignment="1">
      <alignment horizontal="right"/>
    </xf>
    <xf numFmtId="2" fontId="53" fillId="24" borderId="5" xfId="1" applyNumberFormat="1" applyFont="1" applyFill="1" applyBorder="1" applyAlignment="1">
      <alignment horizontal="right"/>
    </xf>
    <xf numFmtId="2" fontId="15" fillId="24" borderId="0" xfId="0" applyNumberFormat="1" applyFont="1" applyFill="1" applyBorder="1"/>
    <xf numFmtId="2" fontId="15" fillId="26" borderId="0" xfId="0" applyNumberFormat="1" applyFont="1" applyFill="1" applyBorder="1" applyAlignment="1">
      <alignment horizontal="right" vertical="center"/>
    </xf>
    <xf numFmtId="2" fontId="0" fillId="26" borderId="0" xfId="0" applyNumberFormat="1" applyFont="1" applyFill="1" applyBorder="1" applyAlignment="1">
      <alignment horizontal="right" vertical="center"/>
    </xf>
    <xf numFmtId="0" fontId="14" fillId="26" borderId="19" xfId="0" applyFont="1" applyFill="1" applyBorder="1" applyAlignment="1">
      <alignment horizontal="center" vertical="center" wrapText="1"/>
    </xf>
    <xf numFmtId="2" fontId="0" fillId="26" borderId="6" xfId="0" applyNumberFormat="1" applyFont="1" applyFill="1" applyBorder="1"/>
    <xf numFmtId="2" fontId="0" fillId="26" borderId="0" xfId="0" applyNumberFormat="1" applyFont="1" applyFill="1" applyBorder="1"/>
    <xf numFmtId="2" fontId="0" fillId="26" borderId="36" xfId="0" applyNumberFormat="1" applyFont="1" applyFill="1" applyBorder="1"/>
    <xf numFmtId="164" fontId="15" fillId="26" borderId="10" xfId="0" applyNumberFormat="1" applyFont="1" applyFill="1" applyBorder="1" applyAlignment="1">
      <alignment horizontal="right" vertical="center"/>
    </xf>
    <xf numFmtId="164" fontId="15" fillId="26" borderId="0" xfId="0" applyNumberFormat="1" applyFont="1" applyFill="1" applyBorder="1" applyAlignment="1">
      <alignment horizontal="right" vertical="center"/>
    </xf>
    <xf numFmtId="2" fontId="14" fillId="24" borderId="0" xfId="0" applyNumberFormat="1" applyFont="1" applyFill="1" applyAlignment="1"/>
    <xf numFmtId="1" fontId="14" fillId="24" borderId="0" xfId="0" applyNumberFormat="1" applyFont="1" applyFill="1" applyAlignment="1"/>
    <xf numFmtId="0" fontId="14" fillId="24" borderId="0" xfId="0" applyFont="1" applyFill="1" applyAlignment="1"/>
    <xf numFmtId="2" fontId="15" fillId="24" borderId="0" xfId="0" applyNumberFormat="1" applyFont="1" applyFill="1" applyAlignment="1"/>
    <xf numFmtId="3" fontId="15" fillId="24" borderId="0" xfId="0" applyNumberFormat="1" applyFont="1" applyFill="1" applyAlignment="1">
      <alignment vertical="center"/>
    </xf>
    <xf numFmtId="3" fontId="15" fillId="24" borderId="0" xfId="0" applyNumberFormat="1" applyFont="1" applyFill="1" applyAlignment="1"/>
    <xf numFmtId="0" fontId="15" fillId="24" borderId="0" xfId="0" applyFont="1" applyFill="1" applyAlignment="1"/>
    <xf numFmtId="2" fontId="14" fillId="24" borderId="0" xfId="0" applyNumberFormat="1" applyFont="1" applyFill="1" applyAlignment="1">
      <alignment horizontal="right"/>
    </xf>
    <xf numFmtId="2" fontId="61" fillId="24" borderId="0" xfId="0" applyNumberFormat="1" applyFont="1" applyFill="1"/>
    <xf numFmtId="167" fontId="61" fillId="24" borderId="0" xfId="0" applyNumberFormat="1" applyFont="1" applyFill="1"/>
    <xf numFmtId="166" fontId="15" fillId="24" borderId="0" xfId="0" applyNumberFormat="1" applyFont="1" applyFill="1" applyBorder="1"/>
    <xf numFmtId="166" fontId="15" fillId="24" borderId="0" xfId="0" applyNumberFormat="1" applyFont="1" applyFill="1" applyAlignment="1">
      <alignment vertical="center"/>
    </xf>
    <xf numFmtId="166" fontId="61" fillId="24" borderId="0" xfId="0" applyNumberFormat="1" applyFont="1" applyFill="1" applyAlignment="1">
      <alignment vertical="center"/>
    </xf>
    <xf numFmtId="166" fontId="15" fillId="24" borderId="0" xfId="0" applyNumberFormat="1" applyFont="1" applyFill="1" applyBorder="1" applyAlignment="1">
      <alignment vertical="center"/>
    </xf>
    <xf numFmtId="166" fontId="61" fillId="24" borderId="0" xfId="0" applyNumberFormat="1" applyFont="1" applyFill="1" applyBorder="1" applyAlignment="1">
      <alignment vertical="center"/>
    </xf>
    <xf numFmtId="2" fontId="61" fillId="24" borderId="0" xfId="0" applyNumberFormat="1" applyFont="1" applyFill="1" applyAlignment="1">
      <alignment vertical="center"/>
    </xf>
    <xf numFmtId="3" fontId="61" fillId="24" borderId="0" xfId="0" applyNumberFormat="1" applyFont="1" applyFill="1" applyAlignment="1">
      <alignment vertical="center"/>
    </xf>
    <xf numFmtId="2" fontId="15" fillId="24" borderId="0" xfId="0" applyNumberFormat="1" applyFont="1" applyFill="1" applyAlignment="1">
      <alignment horizontal="center"/>
    </xf>
    <xf numFmtId="2" fontId="61" fillId="24" borderId="0" xfId="0" applyNumberFormat="1" applyFont="1" applyFill="1" applyAlignment="1">
      <alignment horizontal="center"/>
    </xf>
    <xf numFmtId="2" fontId="15" fillId="24" borderId="0" xfId="0" applyNumberFormat="1" applyFont="1" applyFill="1" applyAlignment="1">
      <alignment horizontal="center" vertical="center"/>
    </xf>
    <xf numFmtId="2" fontId="61" fillId="24" borderId="0" xfId="0" applyNumberFormat="1" applyFont="1" applyFill="1" applyAlignment="1">
      <alignment horizontal="center" vertical="center"/>
    </xf>
    <xf numFmtId="0" fontId="61" fillId="24" borderId="0" xfId="0" applyFont="1" applyFill="1" applyAlignment="1">
      <alignment horizontal="center"/>
    </xf>
    <xf numFmtId="0" fontId="15" fillId="24" borderId="0" xfId="0" applyFont="1" applyFill="1" applyAlignment="1">
      <alignment horizontal="center"/>
    </xf>
    <xf numFmtId="0" fontId="61" fillId="24" borderId="0" xfId="0" applyFont="1" applyFill="1" applyAlignment="1">
      <alignment horizontal="center" vertical="center"/>
    </xf>
    <xf numFmtId="0" fontId="15" fillId="24" borderId="0" xfId="0" applyFont="1" applyFill="1" applyAlignment="1">
      <alignment horizontal="center" vertical="center"/>
    </xf>
    <xf numFmtId="0" fontId="61" fillId="24" borderId="0" xfId="0" applyFont="1" applyFill="1"/>
    <xf numFmtId="0" fontId="79" fillId="26" borderId="0" xfId="0" applyFont="1" applyFill="1" applyAlignment="1">
      <alignment horizontal="right"/>
    </xf>
    <xf numFmtId="2" fontId="15" fillId="26" borderId="1" xfId="0" applyNumberFormat="1" applyFont="1" applyFill="1" applyBorder="1" applyAlignment="1">
      <alignment horizontal="right" vertical="top" wrapText="1"/>
    </xf>
    <xf numFmtId="0" fontId="0" fillId="26" borderId="1" xfId="0" applyFont="1" applyFill="1" applyBorder="1" applyAlignment="1">
      <alignment horizontal="right" vertical="top" wrapText="1"/>
    </xf>
    <xf numFmtId="1" fontId="15" fillId="26" borderId="0" xfId="0" applyNumberFormat="1" applyFont="1" applyFill="1" applyBorder="1" applyAlignment="1">
      <alignment horizontal="right"/>
    </xf>
    <xf numFmtId="0" fontId="15" fillId="26" borderId="19" xfId="0" applyFont="1" applyFill="1" applyBorder="1" applyAlignment="1">
      <alignment vertical="center" wrapText="1"/>
    </xf>
    <xf numFmtId="0" fontId="15" fillId="26" borderId="6" xfId="0" applyFont="1" applyFill="1" applyBorder="1" applyAlignment="1">
      <alignment horizontal="left" vertical="center" wrapText="1"/>
    </xf>
    <xf numFmtId="0" fontId="15" fillId="26" borderId="6" xfId="0" applyFont="1" applyFill="1" applyBorder="1" applyAlignment="1">
      <alignment vertical="center" wrapText="1"/>
    </xf>
    <xf numFmtId="0" fontId="15" fillId="26" borderId="6" xfId="0" applyFont="1" applyFill="1" applyBorder="1" applyAlignment="1">
      <alignment horizontal="center" vertical="center" wrapText="1"/>
    </xf>
    <xf numFmtId="0" fontId="15" fillId="26" borderId="20" xfId="0" applyFont="1" applyFill="1" applyBorder="1" applyAlignment="1">
      <alignment horizontal="center" vertical="center" wrapText="1"/>
    </xf>
    <xf numFmtId="0" fontId="15" fillId="26" borderId="6" xfId="0" applyFont="1" applyFill="1" applyBorder="1" applyAlignment="1">
      <alignment vertical="center"/>
    </xf>
    <xf numFmtId="2" fontId="15" fillId="26" borderId="6" xfId="0" applyNumberFormat="1" applyFont="1" applyFill="1" applyBorder="1" applyAlignment="1">
      <alignment horizontal="right" vertical="center" wrapText="1"/>
    </xf>
    <xf numFmtId="164" fontId="15" fillId="26" borderId="6" xfId="0" applyNumberFormat="1" applyFont="1" applyFill="1" applyBorder="1" applyAlignment="1">
      <alignment horizontal="right" vertical="center" wrapText="1"/>
    </xf>
    <xf numFmtId="0" fontId="15" fillId="26" borderId="12" xfId="0" applyFont="1" applyFill="1" applyBorder="1" applyAlignment="1">
      <alignment vertical="center" wrapText="1"/>
    </xf>
    <xf numFmtId="2" fontId="15" fillId="26" borderId="0" xfId="0" applyNumberFormat="1" applyFont="1" applyFill="1" applyBorder="1" applyAlignment="1">
      <alignment vertical="center" wrapText="1"/>
    </xf>
    <xf numFmtId="2" fontId="15" fillId="26" borderId="0" xfId="0" applyNumberFormat="1" applyFont="1" applyFill="1" applyBorder="1" applyAlignment="1">
      <alignment horizontal="right" vertical="center" wrapText="1"/>
    </xf>
    <xf numFmtId="164" fontId="15" fillId="26" borderId="0" xfId="0" applyNumberFormat="1" applyFont="1" applyFill="1" applyBorder="1" applyAlignment="1">
      <alignment horizontal="right" vertical="center" wrapText="1"/>
    </xf>
    <xf numFmtId="2" fontId="15" fillId="26" borderId="36" xfId="0" quotePrefix="1" applyNumberFormat="1" applyFont="1" applyFill="1" applyBorder="1" applyAlignment="1">
      <alignment horizontal="right" vertical="center"/>
    </xf>
    <xf numFmtId="164" fontId="15" fillId="26" borderId="15" xfId="0" applyNumberFormat="1" applyFont="1" applyFill="1" applyBorder="1" applyAlignment="1">
      <alignment horizontal="right" vertical="center"/>
    </xf>
    <xf numFmtId="0" fontId="53" fillId="26" borderId="24" xfId="0" applyFont="1" applyFill="1" applyBorder="1" applyAlignment="1">
      <alignment horizontal="center" vertical="center"/>
    </xf>
    <xf numFmtId="0" fontId="53" fillId="26" borderId="18" xfId="0" applyFont="1" applyFill="1" applyBorder="1" applyAlignment="1">
      <alignment horizontal="center" vertical="center"/>
    </xf>
    <xf numFmtId="0" fontId="53" fillId="26" borderId="25" xfId="0" applyFont="1" applyFill="1" applyBorder="1" applyAlignment="1">
      <alignment horizontal="center" vertical="center"/>
    </xf>
    <xf numFmtId="0" fontId="53" fillId="26" borderId="14" xfId="0" applyFont="1" applyFill="1" applyBorder="1" applyAlignment="1">
      <alignment horizontal="left"/>
    </xf>
    <xf numFmtId="0" fontId="15" fillId="26" borderId="7" xfId="0" applyFont="1" applyFill="1" applyBorder="1"/>
    <xf numFmtId="0" fontId="53" fillId="26" borderId="7" xfId="0" applyFont="1" applyFill="1" applyBorder="1" applyAlignment="1">
      <alignment horizontal="center"/>
    </xf>
    <xf numFmtId="4" fontId="53" fillId="26" borderId="7" xfId="0" applyNumberFormat="1" applyFont="1" applyFill="1" applyBorder="1"/>
    <xf numFmtId="164" fontId="53" fillId="26" borderId="7" xfId="0" applyNumberFormat="1" applyFont="1" applyFill="1" applyBorder="1" applyAlignment="1">
      <alignment horizontal="right"/>
    </xf>
    <xf numFmtId="0" fontId="15" fillId="26" borderId="19" xfId="0" applyFont="1" applyFill="1" applyBorder="1" applyAlignment="1">
      <alignment horizontal="center"/>
    </xf>
    <xf numFmtId="0" fontId="53" fillId="26" borderId="6" xfId="0" applyFont="1" applyFill="1" applyBorder="1" applyAlignment="1">
      <alignment horizontal="center" vertical="center"/>
    </xf>
    <xf numFmtId="0" fontId="53" fillId="26" borderId="20" xfId="0" applyFont="1" applyFill="1" applyBorder="1" applyAlignment="1">
      <alignment horizontal="center" vertical="center"/>
    </xf>
    <xf numFmtId="0" fontId="53" fillId="26" borderId="21" xfId="0" applyFont="1" applyFill="1" applyBorder="1" applyAlignment="1">
      <alignment horizontal="center" vertical="center"/>
    </xf>
    <xf numFmtId="0" fontId="53" fillId="26" borderId="1" xfId="0" applyFont="1" applyFill="1" applyBorder="1" applyAlignment="1">
      <alignment horizontal="center" vertical="center"/>
    </xf>
    <xf numFmtId="0" fontId="15" fillId="26" borderId="1" xfId="0" applyFont="1" applyFill="1" applyBorder="1" applyAlignment="1">
      <alignment horizontal="center" vertical="center"/>
    </xf>
    <xf numFmtId="0" fontId="53" fillId="26" borderId="22" xfId="0" applyFont="1" applyFill="1" applyBorder="1" applyAlignment="1">
      <alignment horizontal="center" vertical="center"/>
    </xf>
    <xf numFmtId="166" fontId="53" fillId="26" borderId="12" xfId="0" applyNumberFormat="1" applyFont="1" applyFill="1" applyBorder="1" applyAlignment="1">
      <alignment horizontal="left" vertical="center"/>
    </xf>
    <xf numFmtId="166" fontId="53" fillId="26" borderId="0" xfId="0" applyNumberFormat="1" applyFont="1" applyFill="1" applyBorder="1" applyAlignment="1">
      <alignment horizontal="left" vertical="center"/>
    </xf>
    <xf numFmtId="166" fontId="15" fillId="26" borderId="0" xfId="0" applyNumberFormat="1" applyFont="1" applyFill="1" applyBorder="1" applyAlignment="1">
      <alignment horizontal="left" vertical="center"/>
    </xf>
    <xf numFmtId="166" fontId="53" fillId="26" borderId="0" xfId="0" applyNumberFormat="1" applyFont="1" applyFill="1" applyBorder="1" applyAlignment="1">
      <alignment horizontal="right" vertical="center"/>
    </xf>
    <xf numFmtId="172" fontId="15" fillId="26" borderId="0" xfId="0" applyNumberFormat="1" applyFont="1" applyFill="1" applyAlignment="1">
      <alignment horizontal="right" vertical="center"/>
    </xf>
    <xf numFmtId="177" fontId="14" fillId="26" borderId="6" xfId="0" applyNumberFormat="1" applyFont="1" applyFill="1" applyBorder="1"/>
    <xf numFmtId="0" fontId="15" fillId="26" borderId="0" xfId="0" applyFont="1" applyFill="1" applyBorder="1" applyAlignment="1">
      <alignment horizontal="right" vertical="center"/>
    </xf>
    <xf numFmtId="0" fontId="15" fillId="26" borderId="15" xfId="0" applyFont="1" applyFill="1" applyBorder="1" applyAlignment="1">
      <alignment horizontal="center"/>
    </xf>
    <xf numFmtId="164" fontId="15" fillId="26" borderId="15" xfId="0" applyNumberFormat="1" applyFont="1" applyFill="1" applyBorder="1"/>
    <xf numFmtId="0" fontId="0" fillId="26" borderId="19" xfId="0" applyFont="1" applyFill="1" applyBorder="1"/>
    <xf numFmtId="0" fontId="0" fillId="26" borderId="14" xfId="0" applyFont="1" applyFill="1" applyBorder="1"/>
    <xf numFmtId="166" fontId="14" fillId="26" borderId="13" xfId="0" applyNumberFormat="1" applyFont="1" applyFill="1" applyBorder="1" applyAlignment="1">
      <alignment horizontal="right"/>
    </xf>
    <xf numFmtId="0" fontId="0" fillId="26" borderId="12" xfId="0" applyFont="1" applyFill="1" applyBorder="1"/>
    <xf numFmtId="0" fontId="15" fillId="26" borderId="6" xfId="0" applyFont="1" applyFill="1" applyBorder="1" applyAlignment="1">
      <alignment horizontal="right"/>
    </xf>
    <xf numFmtId="166" fontId="15" fillId="26" borderId="6" xfId="0" applyNumberFormat="1" applyFont="1" applyFill="1" applyBorder="1" applyAlignment="1">
      <alignment horizontal="right"/>
    </xf>
    <xf numFmtId="166" fontId="15" fillId="26" borderId="20" xfId="0" applyNumberFormat="1" applyFont="1" applyFill="1" applyBorder="1" applyAlignment="1">
      <alignment horizontal="right"/>
    </xf>
    <xf numFmtId="3" fontId="62" fillId="29" borderId="0" xfId="0" applyNumberFormat="1" applyFont="1" applyFill="1" applyBorder="1" applyAlignment="1">
      <alignment horizontal="right"/>
    </xf>
    <xf numFmtId="175" fontId="62" fillId="29" borderId="1" xfId="0" applyNumberFormat="1" applyFont="1" applyFill="1" applyBorder="1" applyAlignment="1">
      <alignment horizontal="right" vertical="top" wrapText="1"/>
    </xf>
    <xf numFmtId="3" fontId="62" fillId="29" borderId="0" xfId="0" applyNumberFormat="1" applyFont="1" applyFill="1" applyBorder="1" applyAlignment="1">
      <alignment horizontal="right" vertical="top" wrapText="1"/>
    </xf>
    <xf numFmtId="166" fontId="15" fillId="26" borderId="0" xfId="0" applyNumberFormat="1" applyFont="1" applyFill="1" applyBorder="1"/>
    <xf numFmtId="0" fontId="15" fillId="26" borderId="20" xfId="0" applyFont="1" applyFill="1" applyBorder="1"/>
    <xf numFmtId="0" fontId="62" fillId="29" borderId="12" xfId="0" applyFont="1" applyFill="1" applyBorder="1" applyAlignment="1">
      <alignment horizontal="left"/>
    </xf>
    <xf numFmtId="0" fontId="62" fillId="29" borderId="14" xfId="0" applyFont="1" applyFill="1" applyBorder="1" applyAlignment="1">
      <alignment horizontal="left"/>
    </xf>
    <xf numFmtId="2" fontId="62" fillId="29" borderId="7" xfId="0" applyNumberFormat="1" applyFont="1" applyFill="1" applyBorder="1"/>
    <xf numFmtId="2" fontId="62" fillId="29" borderId="15" xfId="0" applyNumberFormat="1" applyFont="1" applyFill="1" applyBorder="1"/>
    <xf numFmtId="2" fontId="62" fillId="29" borderId="0" xfId="0" applyNumberFormat="1" applyFont="1" applyFill="1" applyBorder="1" applyAlignment="1">
      <alignment horizontal="right"/>
    </xf>
    <xf numFmtId="2" fontId="62" fillId="29" borderId="0" xfId="0" applyNumberFormat="1" applyFont="1" applyFill="1" applyAlignment="1">
      <alignment horizontal="right"/>
    </xf>
    <xf numFmtId="164" fontId="62" fillId="29" borderId="12" xfId="0" quotePrefix="1" applyNumberFormat="1" applyFont="1" applyFill="1" applyBorder="1" applyAlignment="1">
      <alignment horizontal="left" vertical="center"/>
    </xf>
    <xf numFmtId="0" fontId="0" fillId="26" borderId="0" xfId="0" applyFont="1" applyFill="1" applyAlignment="1">
      <alignment wrapText="1"/>
    </xf>
    <xf numFmtId="2" fontId="21" fillId="26" borderId="0" xfId="0" applyNumberFormat="1" applyFont="1" applyFill="1" applyAlignment="1">
      <alignment horizontal="right"/>
    </xf>
    <xf numFmtId="3" fontId="62" fillId="29" borderId="0" xfId="0" applyNumberFormat="1" applyFont="1" applyFill="1" applyAlignment="1">
      <alignment horizontal="center"/>
    </xf>
    <xf numFmtId="166" fontId="14" fillId="26" borderId="10" xfId="0" applyNumberFormat="1" applyFont="1" applyFill="1" applyBorder="1"/>
    <xf numFmtId="166" fontId="14" fillId="26" borderId="11" xfId="0" applyNumberFormat="1" applyFont="1" applyFill="1" applyBorder="1"/>
    <xf numFmtId="8" fontId="14" fillId="26" borderId="38" xfId="0" applyNumberFormat="1" applyFont="1" applyFill="1" applyBorder="1" applyAlignment="1">
      <alignment horizontal="center"/>
    </xf>
    <xf numFmtId="8" fontId="14" fillId="26" borderId="36" xfId="0" applyNumberFormat="1" applyFont="1" applyFill="1" applyBorder="1" applyAlignment="1">
      <alignment horizontal="center"/>
    </xf>
    <xf numFmtId="0" fontId="15" fillId="26" borderId="0" xfId="0" applyFont="1" applyFill="1" applyBorder="1" applyAlignment="1">
      <alignment vertical="top" wrapText="1"/>
    </xf>
    <xf numFmtId="0" fontId="0" fillId="29" borderId="0" xfId="0" applyFont="1" applyFill="1"/>
    <xf numFmtId="0" fontId="81" fillId="29" borderId="1" xfId="0" applyFont="1" applyFill="1" applyBorder="1"/>
    <xf numFmtId="0" fontId="80" fillId="29" borderId="0" xfId="0" applyFont="1" applyFill="1" applyAlignment="1">
      <alignment horizontal="center"/>
    </xf>
    <xf numFmtId="0" fontId="5" fillId="26" borderId="0" xfId="8" applyFill="1" applyAlignment="1">
      <alignment vertical="top"/>
    </xf>
    <xf numFmtId="0" fontId="0" fillId="29" borderId="0" xfId="0" applyFont="1" applyFill="1" applyAlignment="1">
      <alignment horizontal="left" wrapText="1"/>
    </xf>
    <xf numFmtId="0" fontId="15" fillId="29" borderId="0" xfId="0" applyFont="1" applyFill="1" applyAlignment="1">
      <alignment horizontal="left" vertical="top" wrapText="1"/>
    </xf>
    <xf numFmtId="0" fontId="53" fillId="29" borderId="0" xfId="0" applyFont="1" applyFill="1" applyAlignment="1">
      <alignment horizontal="left" vertical="center" wrapText="1"/>
    </xf>
    <xf numFmtId="0" fontId="83" fillId="29" borderId="0" xfId="0" applyFont="1" applyFill="1" applyAlignment="1">
      <alignment horizontal="left" vertical="top" wrapText="1"/>
    </xf>
    <xf numFmtId="0" fontId="15" fillId="26" borderId="0" xfId="0" applyFont="1" applyFill="1" applyAlignment="1">
      <alignment horizontal="left" wrapText="1"/>
    </xf>
    <xf numFmtId="0" fontId="15" fillId="26" borderId="0" xfId="0" applyFont="1" applyFill="1" applyAlignment="1">
      <alignment horizontal="left" vertical="top" wrapText="1"/>
    </xf>
    <xf numFmtId="0" fontId="42" fillId="26" borderId="0" xfId="0" applyFont="1" applyFill="1" applyAlignment="1">
      <alignment horizontal="left" vertical="top" wrapText="1"/>
    </xf>
    <xf numFmtId="0" fontId="44" fillId="26" borderId="36" xfId="0" applyFont="1" applyFill="1" applyBorder="1" applyAlignment="1">
      <alignment horizontal="center"/>
    </xf>
    <xf numFmtId="0" fontId="14" fillId="26" borderId="14" xfId="0" applyFont="1" applyFill="1" applyBorder="1" applyAlignment="1">
      <alignment horizontal="right"/>
    </xf>
    <xf numFmtId="0" fontId="14" fillId="26" borderId="36" xfId="0" applyFont="1" applyFill="1" applyBorder="1" applyAlignment="1">
      <alignment horizontal="right"/>
    </xf>
    <xf numFmtId="0" fontId="15" fillId="26" borderId="0" xfId="0" applyFont="1" applyFill="1" applyAlignment="1">
      <alignment vertical="top" wrapText="1"/>
    </xf>
    <xf numFmtId="0" fontId="14" fillId="26" borderId="36" xfId="0" applyFont="1" applyFill="1" applyBorder="1" applyAlignment="1">
      <alignment horizontal="center" vertical="center" wrapText="1"/>
    </xf>
    <xf numFmtId="0" fontId="45" fillId="26" borderId="19" xfId="0" applyFont="1" applyFill="1" applyBorder="1" applyAlignment="1">
      <alignment horizontal="center" vertical="center" textRotation="90"/>
    </xf>
    <xf numFmtId="0" fontId="45" fillId="26" borderId="12" xfId="0" applyFont="1" applyFill="1" applyBorder="1" applyAlignment="1">
      <alignment horizontal="center" vertical="center" textRotation="90"/>
    </xf>
    <xf numFmtId="0" fontId="45" fillId="26" borderId="14" xfId="0" applyFont="1" applyFill="1" applyBorder="1" applyAlignment="1">
      <alignment horizontal="center" vertical="center" textRotation="90"/>
    </xf>
    <xf numFmtId="0" fontId="14" fillId="26" borderId="36" xfId="0" applyFont="1" applyFill="1" applyBorder="1" applyAlignment="1">
      <alignment horizontal="center"/>
    </xf>
    <xf numFmtId="0" fontId="14" fillId="26" borderId="10" xfId="0" applyFont="1" applyFill="1" applyBorder="1" applyAlignment="1">
      <alignment horizontal="center"/>
    </xf>
    <xf numFmtId="0" fontId="46" fillId="26" borderId="0" xfId="0" applyFont="1" applyFill="1" applyAlignment="1">
      <alignment horizontal="center" vertical="top" wrapText="1"/>
    </xf>
    <xf numFmtId="0" fontId="14" fillId="26" borderId="0" xfId="0" applyFont="1" applyFill="1" applyBorder="1" applyAlignment="1">
      <alignment horizontal="left" vertical="top" wrapText="1"/>
    </xf>
    <xf numFmtId="0" fontId="14" fillId="26" borderId="1" xfId="0" applyFont="1" applyFill="1" applyBorder="1" applyAlignment="1">
      <alignment horizontal="left" vertical="top" wrapText="1"/>
    </xf>
    <xf numFmtId="0" fontId="14" fillId="26" borderId="0" xfId="0" applyFont="1" applyFill="1" applyAlignment="1">
      <alignment horizontal="left" vertical="top" wrapText="1"/>
    </xf>
    <xf numFmtId="0" fontId="49" fillId="26" borderId="0" xfId="0" applyFont="1" applyFill="1" applyBorder="1" applyAlignment="1">
      <alignment horizontal="left" vertical="top"/>
    </xf>
    <xf numFmtId="0" fontId="48" fillId="26" borderId="0" xfId="0" applyFont="1" applyFill="1" applyBorder="1" applyAlignment="1">
      <alignment horizontal="left" vertical="top" wrapText="1"/>
    </xf>
    <xf numFmtId="0" fontId="45" fillId="26" borderId="0" xfId="0" applyFont="1" applyFill="1" applyBorder="1" applyAlignment="1">
      <alignment horizontal="left" vertical="top" wrapText="1"/>
    </xf>
    <xf numFmtId="0" fontId="0" fillId="26"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48" fillId="26" borderId="0" xfId="0" applyFont="1" applyFill="1" applyBorder="1" applyAlignment="1">
      <alignment vertical="center" wrapText="1"/>
    </xf>
    <xf numFmtId="0" fontId="0" fillId="29" borderId="0" xfId="0" applyFont="1" applyFill="1" applyBorder="1" applyAlignment="1">
      <alignment vertical="top" wrapText="1"/>
    </xf>
    <xf numFmtId="0" fontId="48" fillId="29" borderId="0" xfId="0" applyFont="1" applyFill="1" applyBorder="1" applyAlignment="1">
      <alignment horizontal="left" vertical="top" wrapText="1"/>
    </xf>
    <xf numFmtId="0" fontId="15" fillId="26" borderId="6" xfId="0" applyFont="1" applyFill="1" applyBorder="1" applyAlignment="1">
      <alignment horizontal="left" wrapText="1"/>
    </xf>
    <xf numFmtId="0" fontId="15" fillId="26" borderId="0" xfId="0" applyFont="1" applyFill="1" applyBorder="1" applyAlignment="1">
      <alignment horizontal="left" wrapText="1"/>
    </xf>
    <xf numFmtId="0" fontId="14" fillId="26" borderId="0" xfId="0" applyFont="1" applyFill="1" applyBorder="1" applyAlignment="1">
      <alignment horizontal="center"/>
    </xf>
    <xf numFmtId="0" fontId="0" fillId="26" borderId="0" xfId="0" applyFont="1" applyFill="1" applyBorder="1" applyAlignment="1">
      <alignment horizontal="center"/>
    </xf>
    <xf numFmtId="0" fontId="15" fillId="26" borderId="6" xfId="0" applyFont="1" applyFill="1" applyBorder="1" applyAlignment="1">
      <alignment horizontal="left" vertical="top"/>
    </xf>
    <xf numFmtId="0" fontId="58" fillId="26" borderId="0" xfId="0" applyFont="1" applyFill="1" applyAlignment="1">
      <alignment horizontal="center" vertical="center"/>
    </xf>
    <xf numFmtId="9" fontId="15" fillId="26" borderId="0" xfId="4" applyFont="1" applyFill="1" applyAlignment="1">
      <alignment horizontal="left" vertical="top" wrapText="1"/>
    </xf>
    <xf numFmtId="0" fontId="84" fillId="0" borderId="0" xfId="0" applyFont="1" applyAlignment="1">
      <alignment horizontal="left" wrapText="1"/>
    </xf>
    <xf numFmtId="0" fontId="85" fillId="0" borderId="0" xfId="0" applyFont="1" applyAlignment="1">
      <alignment horizontal="left" wrapText="1"/>
    </xf>
  </cellXfs>
  <cellStyles count="64">
    <cellStyle name="20% - Accent1 2" xfId="14" xr:uid="{00000000-0005-0000-0000-000000000000}"/>
    <cellStyle name="20% - Accent2 2" xfId="15" xr:uid="{00000000-0005-0000-0000-000001000000}"/>
    <cellStyle name="20% - Accent3 2" xfId="16" xr:uid="{00000000-0005-0000-0000-000002000000}"/>
    <cellStyle name="20% - Accent4 2" xfId="17" xr:uid="{00000000-0005-0000-0000-000003000000}"/>
    <cellStyle name="20% - Accent5 2" xfId="18" xr:uid="{00000000-0005-0000-0000-000004000000}"/>
    <cellStyle name="20% - Accent6 2" xfId="19" xr:uid="{00000000-0005-0000-0000-000005000000}"/>
    <cellStyle name="40% - Accent1 2" xfId="20" xr:uid="{00000000-0005-0000-0000-000006000000}"/>
    <cellStyle name="40% - Accent2 2" xfId="21" xr:uid="{00000000-0005-0000-0000-000007000000}"/>
    <cellStyle name="40% - Accent3 2" xfId="22" xr:uid="{00000000-0005-0000-0000-000008000000}"/>
    <cellStyle name="40% - Accent4 2" xfId="23" xr:uid="{00000000-0005-0000-0000-000009000000}"/>
    <cellStyle name="40% - Accent5 2" xfId="24" xr:uid="{00000000-0005-0000-0000-00000A000000}"/>
    <cellStyle name="40% - Accent6 2" xfId="25" xr:uid="{00000000-0005-0000-0000-00000B000000}"/>
    <cellStyle name="60% - Accent1 2" xfId="26" xr:uid="{00000000-0005-0000-0000-00000C000000}"/>
    <cellStyle name="60% - Accent2 2" xfId="27" xr:uid="{00000000-0005-0000-0000-00000D000000}"/>
    <cellStyle name="60% - Accent3 2" xfId="28" xr:uid="{00000000-0005-0000-0000-00000E000000}"/>
    <cellStyle name="60% - Accent4 2" xfId="29" xr:uid="{00000000-0005-0000-0000-00000F000000}"/>
    <cellStyle name="60% - Accent5 2" xfId="30" xr:uid="{00000000-0005-0000-0000-000010000000}"/>
    <cellStyle name="60% - Accent6 2" xfId="31" xr:uid="{00000000-0005-0000-0000-000011000000}"/>
    <cellStyle name="Accent1 2" xfId="32" xr:uid="{00000000-0005-0000-0000-000012000000}"/>
    <cellStyle name="Accent2 2" xfId="33" xr:uid="{00000000-0005-0000-0000-000013000000}"/>
    <cellStyle name="Accent3 2" xfId="34" xr:uid="{00000000-0005-0000-0000-000014000000}"/>
    <cellStyle name="Accent4 2" xfId="35" xr:uid="{00000000-0005-0000-0000-000015000000}"/>
    <cellStyle name="Accent5 2" xfId="36" xr:uid="{00000000-0005-0000-0000-000016000000}"/>
    <cellStyle name="Accent6 2" xfId="37" xr:uid="{00000000-0005-0000-0000-000017000000}"/>
    <cellStyle name="Bad" xfId="63" builtinId="27"/>
    <cellStyle name="Bad 2" xfId="38" xr:uid="{00000000-0005-0000-0000-000019000000}"/>
    <cellStyle name="Calculation 2" xfId="39" xr:uid="{00000000-0005-0000-0000-00001A000000}"/>
    <cellStyle name="Check Cell 2" xfId="40" xr:uid="{00000000-0005-0000-0000-00001B000000}"/>
    <cellStyle name="Comma" xfId="10" builtinId="3"/>
    <cellStyle name="Comma 2" xfId="2" xr:uid="{00000000-0005-0000-0000-00001D000000}"/>
    <cellStyle name="Comma 2 2" xfId="41" xr:uid="{00000000-0005-0000-0000-00001E000000}"/>
    <cellStyle name="Comma 3" xfId="42" xr:uid="{00000000-0005-0000-0000-00001F000000}"/>
    <cellStyle name="Comma 3 2" xfId="43" xr:uid="{00000000-0005-0000-0000-000020000000}"/>
    <cellStyle name="Comma 4" xfId="44" xr:uid="{00000000-0005-0000-0000-000021000000}"/>
    <cellStyle name="Comma 4 2" xfId="45" xr:uid="{00000000-0005-0000-0000-000022000000}"/>
    <cellStyle name="Currency" xfId="11" builtinId="4"/>
    <cellStyle name="Currency 2" xfId="3" xr:uid="{00000000-0005-0000-0000-000024000000}"/>
    <cellStyle name="Explanatory Text 2" xfId="46" xr:uid="{00000000-0005-0000-0000-000025000000}"/>
    <cellStyle name="Good" xfId="62" builtinId="26"/>
    <cellStyle name="Good 2" xfId="47" xr:uid="{00000000-0005-0000-0000-000027000000}"/>
    <cellStyle name="Heading 1 2" xfId="48" xr:uid="{00000000-0005-0000-0000-000028000000}"/>
    <cellStyle name="Heading 2 2" xfId="49" xr:uid="{00000000-0005-0000-0000-000029000000}"/>
    <cellStyle name="Heading 3 2" xfId="50" xr:uid="{00000000-0005-0000-0000-00002A000000}"/>
    <cellStyle name="Heading 4 2" xfId="51" xr:uid="{00000000-0005-0000-0000-00002B000000}"/>
    <cellStyle name="Hyperlink" xfId="8" builtinId="8"/>
    <cellStyle name="Hyperlink 2" xfId="9" xr:uid="{00000000-0005-0000-0000-00002D000000}"/>
    <cellStyle name="Input 2" xfId="52" xr:uid="{00000000-0005-0000-0000-00002E000000}"/>
    <cellStyle name="Linked Cell 2" xfId="53" xr:uid="{00000000-0005-0000-0000-00002F000000}"/>
    <cellStyle name="Neutral 2" xfId="54" xr:uid="{00000000-0005-0000-0000-000030000000}"/>
    <cellStyle name="Normal" xfId="0" builtinId="0"/>
    <cellStyle name="Normal 2" xfId="1" xr:uid="{00000000-0005-0000-0000-000032000000}"/>
    <cellStyle name="Normal 2 2" xfId="7" xr:uid="{00000000-0005-0000-0000-000033000000}"/>
    <cellStyle name="Normal 3" xfId="5" xr:uid="{00000000-0005-0000-0000-000034000000}"/>
    <cellStyle name="Normal 3 2" xfId="55" xr:uid="{00000000-0005-0000-0000-000035000000}"/>
    <cellStyle name="Normal 4" xfId="12" xr:uid="{00000000-0005-0000-0000-000036000000}"/>
    <cellStyle name="Normal 4 2" xfId="56" xr:uid="{00000000-0005-0000-0000-000037000000}"/>
    <cellStyle name="Normal 84" xfId="13" xr:uid="{00000000-0005-0000-0000-000038000000}"/>
    <cellStyle name="Note 2" xfId="57" xr:uid="{00000000-0005-0000-0000-000039000000}"/>
    <cellStyle name="Output 2" xfId="58" xr:uid="{00000000-0005-0000-0000-00003A000000}"/>
    <cellStyle name="Percent" xfId="6" builtinId="5"/>
    <cellStyle name="Percent 2" xfId="4" xr:uid="{00000000-0005-0000-0000-00003C000000}"/>
    <cellStyle name="Title 2" xfId="59" xr:uid="{00000000-0005-0000-0000-00003D000000}"/>
    <cellStyle name="Total 2" xfId="60" xr:uid="{00000000-0005-0000-0000-00003E000000}"/>
    <cellStyle name="Warning Text 2" xfId="61" xr:uid="{00000000-0005-0000-0000-00003F000000}"/>
  </cellStyles>
  <dxfs count="0"/>
  <tableStyles count="0" defaultTableStyle="TableStyleMedium9" defaultPivotStyle="PivotStyleLight16"/>
  <colors>
    <mruColors>
      <color rgb="FF663300"/>
      <color rgb="FFFFD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8842905322607"/>
          <c:y val="5.986618258337191E-2"/>
          <c:w val="0.69011580333019829"/>
          <c:h val="0.69996263470283904"/>
        </c:manualLayout>
      </c:layout>
      <c:barChart>
        <c:barDir val="bar"/>
        <c:grouping val="clustered"/>
        <c:varyColors val="0"/>
        <c:ser>
          <c:idx val="0"/>
          <c:order val="0"/>
          <c:tx>
            <c:v>Lower bound</c:v>
          </c:tx>
          <c:spPr>
            <a:solidFill>
              <a:schemeClr val="accent1"/>
            </a:solidFill>
            <a:ln>
              <a:noFill/>
            </a:ln>
            <a:effectLst/>
          </c:spPr>
          <c:invertIfNegative val="0"/>
          <c:dLbls>
            <c:dLbl>
              <c:idx val="0"/>
              <c:layout>
                <c:manualLayout>
                  <c:x val="-8.5657624448053672E-3"/>
                  <c:y val="3.86259607735430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05-4A52-B127-38DA6A12B7ED}"/>
                </c:ext>
              </c:extLst>
            </c:dLbl>
            <c:dLbl>
              <c:idx val="1"/>
              <c:layout>
                <c:manualLayout>
                  <c:x val="-2.8043870977431202E-3"/>
                  <c:y val="3.917660040268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05-4A52-B127-38DA6A12B7ED}"/>
                </c:ext>
              </c:extLst>
            </c:dLbl>
            <c:dLbl>
              <c:idx val="2"/>
              <c:layout>
                <c:manualLayout>
                  <c:x val="-6.1274364394651462E-2"/>
                  <c:y val="0"/>
                </c:manualLayout>
              </c:layout>
              <c:showLegendKey val="0"/>
              <c:showVal val="1"/>
              <c:showCatName val="0"/>
              <c:showSerName val="0"/>
              <c:showPercent val="0"/>
              <c:showBubbleSize val="0"/>
              <c:extLst>
                <c:ext xmlns:c15="http://schemas.microsoft.com/office/drawing/2012/chart" uri="{CE6537A1-D6FC-4f65-9D91-7224C49458BB}">
                  <c15:layout>
                    <c:manualLayout>
                      <c:w val="4.5973831596718071E-2"/>
                      <c:h val="6.1470651307821325E-2"/>
                    </c:manualLayout>
                  </c15:layout>
                </c:ext>
                <c:ext xmlns:c16="http://schemas.microsoft.com/office/drawing/2014/chart" uri="{C3380CC4-5D6E-409C-BE32-E72D297353CC}">
                  <c16:uniqueId val="{00000003-9D05-4A52-B127-38DA6A12B7ED}"/>
                </c:ext>
              </c:extLst>
            </c:dLbl>
            <c:dLbl>
              <c:idx val="3"/>
              <c:layout>
                <c:manualLayout>
                  <c:x val="-5.6002589570732855E-3"/>
                  <c:y val="7.6934229512778153E-3"/>
                </c:manualLayout>
              </c:layout>
              <c:showLegendKey val="0"/>
              <c:showVal val="1"/>
              <c:showCatName val="0"/>
              <c:showSerName val="0"/>
              <c:showPercent val="0"/>
              <c:showBubbleSize val="0"/>
              <c:extLst>
                <c:ext xmlns:c15="http://schemas.microsoft.com/office/drawing/2012/chart" uri="{CE6537A1-D6FC-4f65-9D91-7224C49458BB}">
                  <c15:layout>
                    <c:manualLayout>
                      <c:w val="4.8303404432037816E-2"/>
                      <c:h val="7.5823630399076622E-2"/>
                    </c:manualLayout>
                  </c15:layout>
                </c:ext>
                <c:ext xmlns:c16="http://schemas.microsoft.com/office/drawing/2014/chart" uri="{C3380CC4-5D6E-409C-BE32-E72D297353CC}">
                  <c16:uniqueId val="{00000004-9D05-4A52-B127-38DA6A12B7ED}"/>
                </c:ext>
              </c:extLst>
            </c:dLbl>
            <c:dLbl>
              <c:idx val="4"/>
              <c:layout>
                <c:manualLayout>
                  <c:x val="-2.7993163988214473E-3"/>
                  <c:y val="3.99001534788275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05-4A52-B127-38DA6A12B7ED}"/>
                </c:ext>
              </c:extLst>
            </c:dLbl>
            <c:dLbl>
              <c:idx val="5"/>
              <c:layout>
                <c:manualLayout>
                  <c:x val="-8.4005950531740019E-3"/>
                  <c:y val="-3.61028230077864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05-4A52-B127-38DA6A12B7ED}"/>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05-4A52-B127-38DA6A12B7ED}"/>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Sensitivity!$S$6:$S$13</c15:sqref>
                  </c15:fullRef>
                </c:ext>
              </c:extLst>
              <c:f>Sensitivity!$S$7:$S$13</c:f>
              <c:numCache>
                <c:formatCode>0.00</c:formatCode>
                <c:ptCount val="7"/>
                <c:pt idx="0">
                  <c:v>8.5977713501082658</c:v>
                </c:pt>
                <c:pt idx="1">
                  <c:v>8.5339967680551467</c:v>
                </c:pt>
                <c:pt idx="2">
                  <c:v>9.0001151001082658</c:v>
                </c:pt>
                <c:pt idx="3">
                  <c:v>8.048435084016706</c:v>
                </c:pt>
                <c:pt idx="4">
                  <c:v>7.6733538482395227</c:v>
                </c:pt>
                <c:pt idx="5">
                  <c:v>7.6561858916288683</c:v>
                </c:pt>
                <c:pt idx="6">
                  <c:v>18.000230200216532</c:v>
                </c:pt>
              </c:numCache>
            </c:numRef>
          </c:val>
          <c:extLst>
            <c:ext xmlns:c15="http://schemas.microsoft.com/office/drawing/2012/chart" uri="{02D57815-91ED-43cb-92C2-25804820EDAC}">
              <c15:categoryFilterExceptions>
                <c15:categoryFilterException>
                  <c15:sqref>Sensitivity!$S$6</c15:sqref>
                  <c15:dLbl>
                    <c:idx val="-1"/>
                    <c:layout>
                      <c:manualLayout>
                        <c:x val="-6.4413161108640468E-2"/>
                        <c:y val="8.8074332255456503E-5"/>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9173-42E2-B571-CF2A23BA3CA9}"/>
                      </c:ext>
                    </c:extLst>
                  </c15:dLbl>
                </c15:categoryFilterException>
              </c15:categoryFilterExceptions>
            </c:ext>
            <c:ext xmlns:c16="http://schemas.microsoft.com/office/drawing/2014/chart" uri="{C3380CC4-5D6E-409C-BE32-E72D297353CC}">
              <c16:uniqueId val="{00000008-9D05-4A52-B127-38DA6A12B7ED}"/>
            </c:ext>
          </c:extLst>
        </c:ser>
        <c:ser>
          <c:idx val="1"/>
          <c:order val="1"/>
          <c:tx>
            <c:v>Upper Bound</c:v>
          </c:tx>
          <c:spPr>
            <a:solidFill>
              <a:schemeClr val="accent2"/>
            </a:solidFill>
            <a:ln>
              <a:noFill/>
            </a:ln>
            <a:effectLst/>
          </c:spPr>
          <c:invertIfNegative val="0"/>
          <c:dLbls>
            <c:dLbl>
              <c:idx val="0"/>
              <c:layout>
                <c:manualLayout>
                  <c:x val="2.4261649666793166E-3"/>
                  <c:y val="-6.37915441364678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05-4A52-B127-38DA6A12B7ED}"/>
                </c:ext>
              </c:extLst>
            </c:dLbl>
            <c:dLbl>
              <c:idx val="1"/>
              <c:layout>
                <c:manualLayout>
                  <c:x val="-6.2660263411716075E-3"/>
                  <c:y val="-5.058248897467171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05-4A52-B127-38DA6A12B7ED}"/>
                </c:ext>
              </c:extLst>
            </c:dLbl>
            <c:dLbl>
              <c:idx val="2"/>
              <c:layout>
                <c:manualLayout>
                  <c:x val="-1.1780465185990185E-2"/>
                  <c:y val="9.0620849135812538E-3"/>
                </c:manualLayout>
              </c:layout>
              <c:showLegendKey val="0"/>
              <c:showVal val="1"/>
              <c:showCatName val="0"/>
              <c:showSerName val="0"/>
              <c:showPercent val="0"/>
              <c:showBubbleSize val="0"/>
              <c:extLst>
                <c:ext xmlns:c15="http://schemas.microsoft.com/office/drawing/2012/chart" uri="{CE6537A1-D6FC-4f65-9D91-7224C49458BB}">
                  <c15:layout>
                    <c:manualLayout>
                      <c:w val="7.5192890754045949E-2"/>
                      <c:h val="5.7785885375671253E-2"/>
                    </c:manualLayout>
                  </c15:layout>
                </c:ext>
                <c:ext xmlns:c16="http://schemas.microsoft.com/office/drawing/2014/chart" uri="{C3380CC4-5D6E-409C-BE32-E72D297353CC}">
                  <c16:uniqueId val="{0000000C-9D05-4A52-B127-38DA6A12B7ED}"/>
                </c:ext>
              </c:extLst>
            </c:dLbl>
            <c:dLbl>
              <c:idx val="3"/>
              <c:layout>
                <c:manualLayout>
                  <c:x val="1.0009758992586789E-3"/>
                  <c:y val="-1.1721457539883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05-4A52-B127-38DA6A12B7ED}"/>
                </c:ext>
              </c:extLst>
            </c:dLbl>
            <c:dLbl>
              <c:idx val="4"/>
              <c:layout>
                <c:manualLayout>
                  <c:x val="-8.41374157022280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05-4A52-B127-38DA6A12B7ED}"/>
                </c:ext>
              </c:extLst>
            </c:dLbl>
            <c:dLbl>
              <c:idx val="5"/>
              <c:layout>
                <c:manualLayout>
                  <c:x val="-7.7874470350560018E-3"/>
                  <c:y val="7.97652476171588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D05-4A52-B127-38DA6A12B7ED}"/>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D05-4A52-B127-38DA6A12B7ED}"/>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Sensitivity!$T$6:$T$13</c15:sqref>
                  </c15:fullRef>
                </c:ext>
              </c:extLst>
              <c:f>Sensitivity!$T$7:$T$13</c:f>
              <c:numCache>
                <c:formatCode>0.00</c:formatCode>
                <c:ptCount val="7"/>
                <c:pt idx="0">
                  <c:v>9.8048026001082658</c:v>
                </c:pt>
                <c:pt idx="1">
                  <c:v>10.398470096267621</c:v>
                </c:pt>
                <c:pt idx="2">
                  <c:v>11.472615100108266</c:v>
                </c:pt>
                <c:pt idx="3">
                  <c:v>10.903475132291385</c:v>
                </c:pt>
                <c:pt idx="4">
                  <c:v>11.653637603845754</c:v>
                </c:pt>
                <c:pt idx="5">
                  <c:v>11.687973517067064</c:v>
                </c:pt>
                <c:pt idx="6">
                  <c:v>6.0000767334055105</c:v>
                </c:pt>
              </c:numCache>
            </c:numRef>
          </c:val>
          <c:extLst>
            <c:ext xmlns:c15="http://schemas.microsoft.com/office/drawing/2012/chart" uri="{02D57815-91ED-43cb-92C2-25804820EDAC}">
              <c15:categoryFilterExceptions>
                <c15:categoryFilterException>
                  <c15:sqref>Sensitivity!$T$6</c15:sqref>
                  <c15:dLbl>
                    <c:idx val="-1"/>
                    <c:layout>
                      <c:manualLayout>
                        <c:x val="-2.2416028776337575E-2"/>
                        <c:y val="-2.3569187504981316E-5"/>
                      </c:manualLayout>
                    </c:layout>
                    <c:showLegendKey val="0"/>
                    <c:showVal val="1"/>
                    <c:showCatName val="0"/>
                    <c:showSerName val="0"/>
                    <c:showPercent val="0"/>
                    <c:showBubbleSize val="0"/>
                    <c:extLst>
                      <c:ext uri="{CE6537A1-D6FC-4f65-9D91-7224C49458BB}">
                        <c15:layout>
                          <c:manualLayout>
                            <c:w val="7.3632554832647856E-2"/>
                            <c:h val="4.5243628596666252E-2"/>
                          </c:manualLayout>
                        </c15:layout>
                      </c:ext>
                      <c:ext xmlns:c16="http://schemas.microsoft.com/office/drawing/2014/chart" uri="{C3380CC4-5D6E-409C-BE32-E72D297353CC}">
                        <c16:uniqueId val="{00000001-9173-42E2-B571-CF2A23BA3CA9}"/>
                      </c:ext>
                    </c:extLst>
                  </c15:dLbl>
                </c15:categoryFilterException>
              </c15:categoryFilterExceptions>
            </c:ext>
            <c:ext xmlns:c16="http://schemas.microsoft.com/office/drawing/2014/chart" uri="{C3380CC4-5D6E-409C-BE32-E72D297353CC}">
              <c16:uniqueId val="{00000011-9D05-4A52-B127-38DA6A12B7ED}"/>
            </c:ext>
          </c:extLst>
        </c:ser>
        <c:dLbls>
          <c:showLegendKey val="0"/>
          <c:showVal val="0"/>
          <c:showCatName val="0"/>
          <c:showSerName val="0"/>
          <c:showPercent val="0"/>
          <c:showBubbleSize val="0"/>
        </c:dLbls>
        <c:gapWidth val="50"/>
        <c:overlap val="100"/>
        <c:axId val="981068632"/>
        <c:axId val="981069288"/>
      </c:barChart>
      <c:catAx>
        <c:axId val="981068632"/>
        <c:scaling>
          <c:orientation val="minMax"/>
        </c:scaling>
        <c:delete val="0"/>
        <c:axPos val="l"/>
        <c:numFmt formatCode="#,##0.0" sourceLinked="0"/>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9288"/>
        <c:crossesAt val="9"/>
        <c:auto val="1"/>
        <c:lblAlgn val="ctr"/>
        <c:lblOffset val="100"/>
        <c:noMultiLvlLbl val="0"/>
      </c:catAx>
      <c:valAx>
        <c:axId val="981069288"/>
        <c:scaling>
          <c:orientation val="minMax"/>
          <c:min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r>
                  <a:rPr lang="en-US"/>
                  <a:t>Farm Breakeven Oilseed Price (¢ lb</a:t>
                </a:r>
                <a:r>
                  <a:rPr lang="en-US" baseline="30000"/>
                  <a:t>-1</a:t>
                </a:r>
                <a:r>
                  <a:rPr lang="en-US"/>
                  <a:t>)--Base=9.0¢/lb</a:t>
                </a:r>
                <a:r>
                  <a:rPr lang="en-US" baseline="30000"/>
                  <a:t>-</a:t>
                </a:r>
              </a:p>
            </c:rich>
          </c:tx>
          <c:layout>
            <c:manualLayout>
              <c:xMode val="edge"/>
              <c:yMode val="edge"/>
              <c:x val="0.29395728113968611"/>
              <c:y val="0.8346770349086909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title>
        <c:numFmt formatCode="0.0" sourceLinked="0"/>
        <c:majorTickMark val="cross"/>
        <c:minorTickMark val="in"/>
        <c:tickLblPos val="nextTo"/>
        <c:spPr>
          <a:noFill/>
          <a:ln>
            <a:solidFill>
              <a:schemeClr val="dk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8632"/>
        <c:crosses val="autoZero"/>
        <c:crossBetween val="between"/>
        <c:majorUnit val="2"/>
        <c:minorUnit val="1"/>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cs typeface="Times New Roman" panose="02020603050405020304" pitchFamily="18" charset="0"/>
        </a:defRPr>
      </a:pPr>
      <a:endParaRPr lang="en-US"/>
    </a:p>
  </c:txPr>
  <c:printSettings>
    <c:headerFooter/>
    <c:pageMargins b="0.75" l="0.7" r="0.7"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53483478300432"/>
          <c:y val="7.5400965601023703E-2"/>
          <c:w val="0.69011580333019829"/>
          <c:h val="0.69996263470283904"/>
        </c:manualLayout>
      </c:layout>
      <c:barChart>
        <c:barDir val="bar"/>
        <c:grouping val="clustered"/>
        <c:varyColors val="0"/>
        <c:ser>
          <c:idx val="0"/>
          <c:order val="0"/>
          <c:tx>
            <c:v>Lower bound</c:v>
          </c:tx>
          <c:spPr>
            <a:solidFill>
              <a:schemeClr val="accent1"/>
            </a:solidFill>
            <a:ln>
              <a:noFill/>
            </a:ln>
            <a:effectLst/>
          </c:spPr>
          <c:invertIfNegative val="0"/>
          <c:dLbls>
            <c:dLbl>
              <c:idx val="0"/>
              <c:layout>
                <c:manualLayout>
                  <c:x val="-3.376853891535303E-3"/>
                  <c:y val="-6.48588149989228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67-4CD3-AA92-C8787AF7A6D0}"/>
                </c:ext>
              </c:extLst>
            </c:dLbl>
            <c:dLbl>
              <c:idx val="1"/>
              <c:layout>
                <c:manualLayout>
                  <c:x val="-2.8043870977431202E-3"/>
                  <c:y val="3.917660040268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19-43E2-A30B-BFA2397F8FFE}"/>
                </c:ext>
              </c:extLst>
            </c:dLbl>
            <c:dLbl>
              <c:idx val="2"/>
              <c:layout>
                <c:manualLayout>
                  <c:x val="-6.40611476836187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D4-4366-A796-0DE64398189C}"/>
                </c:ext>
              </c:extLst>
            </c:dLbl>
            <c:dLbl>
              <c:idx val="3"/>
              <c:layout>
                <c:manualLayout>
                  <c:x val="-1.5094707408692849E-2"/>
                  <c:y val="7.7795617030134738E-3"/>
                </c:manualLayout>
              </c:layout>
              <c:showLegendKey val="0"/>
              <c:showVal val="1"/>
              <c:showCatName val="0"/>
              <c:showSerName val="0"/>
              <c:showPercent val="0"/>
              <c:showBubbleSize val="0"/>
              <c:extLst>
                <c:ext xmlns:c15="http://schemas.microsoft.com/office/drawing/2012/chart" uri="{CE6537A1-D6FC-4f65-9D91-7224C49458BB}">
                  <c15:layout>
                    <c:manualLayout>
                      <c:w val="5.0951624701704973E-2"/>
                      <c:h val="0.11737639918434324"/>
                    </c:manualLayout>
                  </c15:layout>
                </c:ext>
                <c:ext xmlns:c16="http://schemas.microsoft.com/office/drawing/2014/chart" uri="{C3380CC4-5D6E-409C-BE32-E72D297353CC}">
                  <c16:uniqueId val="{00000002-4DD4-4366-A796-0DE64398189C}"/>
                </c:ext>
              </c:extLst>
            </c:dLbl>
            <c:dLbl>
              <c:idx val="4"/>
              <c:layout>
                <c:manualLayout>
                  <c:x val="-2.7993163988214473E-3"/>
                  <c:y val="3.99001534788275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3A-4257-B90B-6DAF0C3ACA45}"/>
                </c:ext>
              </c:extLst>
            </c:dLbl>
            <c:dLbl>
              <c:idx val="5"/>
              <c:layout>
                <c:manualLayout>
                  <c:x val="-8.4005950531740019E-3"/>
                  <c:y val="-3.61028230077864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D4-4366-A796-0DE64398189C}"/>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D4-4366-A796-0DE64398189C}"/>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Sensitivity!$S$6:$S$13</c15:sqref>
                  </c15:fullRef>
                </c:ext>
              </c:extLst>
              <c:f>Sensitivity!$S$7:$S$13</c:f>
              <c:numCache>
                <c:formatCode>0.00</c:formatCode>
                <c:ptCount val="7"/>
                <c:pt idx="0">
                  <c:v>8.5977713501082658</c:v>
                </c:pt>
                <c:pt idx="1">
                  <c:v>8.5339967680551467</c:v>
                </c:pt>
                <c:pt idx="2">
                  <c:v>9.0001151001082658</c:v>
                </c:pt>
                <c:pt idx="3">
                  <c:v>8.048435084016706</c:v>
                </c:pt>
                <c:pt idx="4">
                  <c:v>7.6733538482395227</c:v>
                </c:pt>
                <c:pt idx="5">
                  <c:v>7.6561858916288683</c:v>
                </c:pt>
                <c:pt idx="6">
                  <c:v>18.000230200216532</c:v>
                </c:pt>
              </c:numCache>
            </c:numRef>
          </c:val>
          <c:extLst>
            <c:ext xmlns:c15="http://schemas.microsoft.com/office/drawing/2012/chart" uri="{02D57815-91ED-43cb-92C2-25804820EDAC}">
              <c15:categoryFilterExceptions>
                <c15:categoryFilterException>
                  <c15:sqref>Sensitivity!$S$6</c15:sqref>
                  <c15:dLbl>
                    <c:idx val="-1"/>
                    <c:layout>
                      <c:manualLayout>
                        <c:x val="-9.0952557085927241E-2"/>
                        <c:y val="-5.0715288295590218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1F3B-447B-B044-169EAC4E998F}"/>
                      </c:ext>
                    </c:extLst>
                  </c15:dLbl>
                </c15:categoryFilterException>
              </c15:categoryFilterExceptions>
            </c:ext>
            <c:ext xmlns:c16="http://schemas.microsoft.com/office/drawing/2014/chart" uri="{C3380CC4-5D6E-409C-BE32-E72D297353CC}">
              <c16:uniqueId val="{00000000-204F-4796-9C2E-7918634B3BF7}"/>
            </c:ext>
          </c:extLst>
        </c:ser>
        <c:ser>
          <c:idx val="1"/>
          <c:order val="1"/>
          <c:tx>
            <c:v>Upper Bound</c:v>
          </c:tx>
          <c:spPr>
            <a:solidFill>
              <a:schemeClr val="accent2"/>
            </a:solidFill>
            <a:ln>
              <a:noFill/>
            </a:ln>
            <a:effectLst/>
          </c:spPr>
          <c:invertIfNegative val="0"/>
          <c:dLbls>
            <c:dLbl>
              <c:idx val="0"/>
              <c:layout>
                <c:manualLayout>
                  <c:x val="-5.5356683865062598E-3"/>
                  <c:y val="3.9408059215289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19-43E2-A30B-BFA2397F8FFE}"/>
                </c:ext>
              </c:extLst>
            </c:dLbl>
            <c:dLbl>
              <c:idx val="1"/>
              <c:layout>
                <c:manualLayout>
                  <c:x val="-6.2660263411716075E-3"/>
                  <c:y val="-5.058248897467171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B9-4B35-8693-4EBA77C68BCB}"/>
                </c:ext>
              </c:extLst>
            </c:dLbl>
            <c:dLbl>
              <c:idx val="2"/>
              <c:layout>
                <c:manualLayout>
                  <c:x val="-1.1817895139085561E-2"/>
                  <c:y val="3.9781849617682779E-3"/>
                </c:manualLayout>
              </c:layout>
              <c:showLegendKey val="0"/>
              <c:showVal val="1"/>
              <c:showCatName val="0"/>
              <c:showSerName val="0"/>
              <c:showPercent val="0"/>
              <c:showBubbleSize val="0"/>
              <c:extLst>
                <c:ext xmlns:c15="http://schemas.microsoft.com/office/drawing/2012/chart" uri="{CE6537A1-D6FC-4f65-9D91-7224C49458BB}">
                  <c15:layout>
                    <c:manualLayout>
                      <c:w val="8.0541628830939155E-2"/>
                      <c:h val="5.7965801053271829E-2"/>
                    </c:manualLayout>
                  </c15:layout>
                </c:ext>
                <c:ext xmlns:c16="http://schemas.microsoft.com/office/drawing/2014/chart" uri="{C3380CC4-5D6E-409C-BE32-E72D297353CC}">
                  <c16:uniqueId val="{00000000-6C3A-4257-B90B-6DAF0C3ACA45}"/>
                </c:ext>
              </c:extLst>
            </c:dLbl>
            <c:dLbl>
              <c:idx val="3"/>
              <c:layout>
                <c:manualLayout>
                  <c:x val="1.0009758992586789E-3"/>
                  <c:y val="-1.1721457539883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67-4CD3-AA92-C8787AF7A6D0}"/>
                </c:ext>
              </c:extLst>
            </c:dLbl>
            <c:dLbl>
              <c:idx val="4"/>
              <c:layout>
                <c:manualLayout>
                  <c:x val="-8.41374157022280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46-449B-A57D-79CC8AF3B524}"/>
                </c:ext>
              </c:extLst>
            </c:dLbl>
            <c:dLbl>
              <c:idx val="5"/>
              <c:layout>
                <c:manualLayout>
                  <c:x val="2.7872400174044423E-3"/>
                  <c:y val="7.97648006099808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67-4CD3-AA92-C8787AF7A6D0}"/>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D4-4366-A796-0DE64398189C}"/>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Sensitivity!$T$6:$T$13</c15:sqref>
                  </c15:fullRef>
                </c:ext>
              </c:extLst>
              <c:f>Sensitivity!$T$7:$T$13</c:f>
              <c:numCache>
                <c:formatCode>0.00</c:formatCode>
                <c:ptCount val="7"/>
                <c:pt idx="0">
                  <c:v>9.8048026001082658</c:v>
                </c:pt>
                <c:pt idx="1">
                  <c:v>10.398470096267621</c:v>
                </c:pt>
                <c:pt idx="2">
                  <c:v>11.472615100108266</c:v>
                </c:pt>
                <c:pt idx="3">
                  <c:v>10.903475132291385</c:v>
                </c:pt>
                <c:pt idx="4">
                  <c:v>11.653637603845754</c:v>
                </c:pt>
                <c:pt idx="5">
                  <c:v>11.687973517067064</c:v>
                </c:pt>
                <c:pt idx="6">
                  <c:v>6.0000767334055105</c:v>
                </c:pt>
              </c:numCache>
            </c:numRef>
          </c:val>
          <c:extLst>
            <c:ext xmlns:c15="http://schemas.microsoft.com/office/drawing/2012/chart" uri="{02D57815-91ED-43cb-92C2-25804820EDAC}">
              <c15:categoryFilterExceptions>
                <c15:categoryFilterException>
                  <c15:sqref>Sensitivity!$T$6</c15:sqref>
                  <c15:dLbl>
                    <c:idx val="-1"/>
                    <c:layout>
                      <c:manualLayout>
                        <c:x val="-2.2416008927284011E-2"/>
                        <c:y val="-5.204099156077697E-3"/>
                      </c:manualLayout>
                    </c:layout>
                    <c:showLegendKey val="0"/>
                    <c:showVal val="1"/>
                    <c:showCatName val="0"/>
                    <c:showSerName val="0"/>
                    <c:showPercent val="0"/>
                    <c:showBubbleSize val="0"/>
                    <c:extLst>
                      <c:ext uri="{CE6537A1-D6FC-4f65-9D91-7224C49458BB}">
                        <c15:layout>
                          <c:manualLayout>
                            <c:w val="7.3632554832647856E-2"/>
                            <c:h val="4.5243628596666252E-2"/>
                          </c:manualLayout>
                        </c15:layout>
                      </c:ext>
                      <c:ext xmlns:c16="http://schemas.microsoft.com/office/drawing/2014/chart" uri="{C3380CC4-5D6E-409C-BE32-E72D297353CC}">
                        <c16:uniqueId val="{00000001-1F3B-447B-B044-169EAC4E998F}"/>
                      </c:ext>
                    </c:extLst>
                  </c15:dLbl>
                </c15:categoryFilterException>
              </c15:categoryFilterExceptions>
            </c:ext>
            <c:ext xmlns:c16="http://schemas.microsoft.com/office/drawing/2014/chart" uri="{C3380CC4-5D6E-409C-BE32-E72D297353CC}">
              <c16:uniqueId val="{00000001-204F-4796-9C2E-7918634B3BF7}"/>
            </c:ext>
          </c:extLst>
        </c:ser>
        <c:dLbls>
          <c:showLegendKey val="0"/>
          <c:showVal val="0"/>
          <c:showCatName val="0"/>
          <c:showSerName val="0"/>
          <c:showPercent val="0"/>
          <c:showBubbleSize val="0"/>
        </c:dLbls>
        <c:gapWidth val="50"/>
        <c:overlap val="100"/>
        <c:axId val="981068632"/>
        <c:axId val="981069288"/>
      </c:barChart>
      <c:catAx>
        <c:axId val="981068632"/>
        <c:scaling>
          <c:orientation val="minMax"/>
        </c:scaling>
        <c:delete val="0"/>
        <c:axPos val="l"/>
        <c:numFmt formatCode="#,##0.0" sourceLinked="0"/>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9288"/>
        <c:crossesAt val="9"/>
        <c:auto val="1"/>
        <c:lblAlgn val="ctr"/>
        <c:lblOffset val="100"/>
        <c:noMultiLvlLbl val="0"/>
      </c:catAx>
      <c:valAx>
        <c:axId val="981069288"/>
        <c:scaling>
          <c:orientation val="minMax"/>
          <c:min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r>
                  <a:rPr lang="en-US"/>
                  <a:t>Farm Breakeven Oilseed Price (¢/lb</a:t>
                </a:r>
                <a:r>
                  <a:rPr lang="en-US" baseline="30000"/>
                  <a:t>-</a:t>
                </a:r>
                <a:r>
                  <a:rPr lang="en-US"/>
                  <a:t>--Base=9.0 ¢/lb</a:t>
                </a:r>
                <a:r>
                  <a:rPr lang="en-US" baseline="30000"/>
                  <a:t>-</a:t>
                </a:r>
              </a:p>
            </c:rich>
          </c:tx>
          <c:layout>
            <c:manualLayout>
              <c:xMode val="edge"/>
              <c:yMode val="edge"/>
              <c:x val="0.29395736949383677"/>
              <c:y val="0.8398533839443762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title>
        <c:numFmt formatCode="0.0" sourceLinked="0"/>
        <c:majorTickMark val="cross"/>
        <c:minorTickMark val="in"/>
        <c:tickLblPos val="nextTo"/>
        <c:spPr>
          <a:noFill/>
          <a:ln>
            <a:solidFill>
              <a:schemeClr val="dk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8632"/>
        <c:crosses val="autoZero"/>
        <c:crossBetween val="between"/>
        <c:majorUnit val="2"/>
        <c:minorUnit val="1"/>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cs typeface="Times New Roman" panose="02020603050405020304" pitchFamily="18" charset="0"/>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30021</xdr:colOff>
      <xdr:row>0</xdr:row>
      <xdr:rowOff>16934</xdr:rowOff>
    </xdr:from>
    <xdr:to>
      <xdr:col>3</xdr:col>
      <xdr:colOff>23626</xdr:colOff>
      <xdr:row>3</xdr:row>
      <xdr:rowOff>139700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66821" y="16934"/>
          <a:ext cx="1200105" cy="668866"/>
        </a:xfrm>
        <a:prstGeom prst="rect">
          <a:avLst/>
        </a:prstGeom>
      </xdr:spPr>
    </xdr:pic>
    <xdr:clientData/>
  </xdr:twoCellAnchor>
  <xdr:twoCellAnchor editAs="oneCell">
    <xdr:from>
      <xdr:col>0</xdr:col>
      <xdr:colOff>0</xdr:colOff>
      <xdr:row>0</xdr:row>
      <xdr:rowOff>148166</xdr:rowOff>
    </xdr:from>
    <xdr:to>
      <xdr:col>1</xdr:col>
      <xdr:colOff>59236</xdr:colOff>
      <xdr:row>3</xdr:row>
      <xdr:rowOff>134779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0" y="148166"/>
          <a:ext cx="2399846" cy="532713"/>
        </a:xfrm>
        <a:prstGeom prst="rect">
          <a:avLst/>
        </a:prstGeom>
      </xdr:spPr>
    </xdr:pic>
    <xdr:clientData/>
  </xdr:twoCellAnchor>
  <xdr:twoCellAnchor editAs="oneCell">
    <xdr:from>
      <xdr:col>3</xdr:col>
      <xdr:colOff>16934</xdr:colOff>
      <xdr:row>0</xdr:row>
      <xdr:rowOff>0</xdr:rowOff>
    </xdr:from>
    <xdr:to>
      <xdr:col>11</xdr:col>
      <xdr:colOff>828</xdr:colOff>
      <xdr:row>3</xdr:row>
      <xdr:rowOff>137443</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72934" y="0"/>
          <a:ext cx="4828309" cy="7038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471713</xdr:colOff>
      <xdr:row>64</xdr:row>
      <xdr:rowOff>40819</xdr:rowOff>
    </xdr:from>
    <xdr:to>
      <xdr:col>6</xdr:col>
      <xdr:colOff>363007</xdr:colOff>
      <xdr:row>76</xdr:row>
      <xdr:rowOff>161688</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0.74118</cdr:x>
      <cdr:y>0.60312</cdr:y>
    </cdr:from>
    <cdr:to>
      <cdr:x>0.93191</cdr:x>
      <cdr:y>0.89048</cdr:y>
    </cdr:to>
    <cdr:sp macro="" textlink="">
      <cdr:nvSpPr>
        <cdr:cNvPr id="2" name="TextBox 1"/>
        <cdr:cNvSpPr txBox="1"/>
      </cdr:nvSpPr>
      <cdr:spPr>
        <a:xfrm xmlns:a="http://schemas.openxmlformats.org/drawingml/2006/main">
          <a:off x="3553385" y="191919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14655</xdr:colOff>
      <xdr:row>3</xdr:row>
      <xdr:rowOff>10317</xdr:rowOff>
    </xdr:from>
    <xdr:to>
      <xdr:col>11</xdr:col>
      <xdr:colOff>320793</xdr:colOff>
      <xdr:row>16</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88900</xdr:colOff>
      <xdr:row>8</xdr:row>
      <xdr:rowOff>120650</xdr:rowOff>
    </xdr:from>
    <xdr:ext cx="184731" cy="264560"/>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7835900" y="177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c:userShapes xmlns:c="http://schemas.openxmlformats.org/drawingml/2006/chart">
  <cdr:relSizeAnchor xmlns:cdr="http://schemas.openxmlformats.org/drawingml/2006/chartDrawing">
    <cdr:from>
      <cdr:x>0.74118</cdr:x>
      <cdr:y>0.60312</cdr:y>
    </cdr:from>
    <cdr:to>
      <cdr:x>0.93191</cdr:x>
      <cdr:y>0.89048</cdr:y>
    </cdr:to>
    <cdr:sp macro="" textlink="">
      <cdr:nvSpPr>
        <cdr:cNvPr id="2" name="TextBox 1"/>
        <cdr:cNvSpPr txBox="1"/>
      </cdr:nvSpPr>
      <cdr:spPr>
        <a:xfrm xmlns:a="http://schemas.openxmlformats.org/drawingml/2006/main">
          <a:off x="3553385" y="191919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16</xdr:row>
      <xdr:rowOff>33866</xdr:rowOff>
    </xdr:from>
    <xdr:to>
      <xdr:col>2</xdr:col>
      <xdr:colOff>2055541</xdr:colOff>
      <xdr:row>38</xdr:row>
      <xdr:rowOff>67416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3023658"/>
          <a:ext cx="6743958" cy="41132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133350</xdr:colOff>
      <xdr:row>66</xdr:row>
      <xdr:rowOff>161925</xdr:rowOff>
    </xdr:from>
    <xdr:to>
      <xdr:col>32</xdr:col>
      <xdr:colOff>457201</xdr:colOff>
      <xdr:row>87</xdr:row>
      <xdr:rowOff>25303</xdr:rowOff>
    </xdr:to>
    <xdr:pic>
      <xdr:nvPicPr>
        <xdr:cNvPr id="3" name="Picture 7">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23325" y="13449300"/>
          <a:ext cx="2876550" cy="40386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ilSeedAnalysis/Shared%20Documents/National%20POLYSYS%20Analysis/Camelina_Budget_Update_03_29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OilSeedAnalysis/Shared%20Documents/National%20POLYSYS%20Analysis/Camelina_Budget_Update_2_15_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ter%20Rye\22_Winter_Rye_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elina Summary"/>
      <sheetName val="RiskSerializationData"/>
      <sheetName val="Sensitivity"/>
      <sheetName val="rsklibSimData"/>
      <sheetName val="Assumptions"/>
      <sheetName val="Establishment"/>
      <sheetName val="Management"/>
      <sheetName val="Harvest &amp; Transportation"/>
      <sheetName val="Parameters List"/>
      <sheetName val="Farm Machinery Cost Calculation"/>
      <sheetName val="Farm Machinery"/>
      <sheetName val="Oil Extraction"/>
      <sheetName val="Inflator"/>
    </sheetNames>
    <sheetDataSet>
      <sheetData sheetId="0"/>
      <sheetData sheetId="1"/>
      <sheetData sheetId="2"/>
      <sheetData sheetId="3"/>
      <sheetData sheetId="4">
        <row r="17">
          <cell r="C17">
            <v>7.4374577417173765E-2</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elina Summary"/>
      <sheetName val="RiskSerializationData"/>
      <sheetName val="Sensitivity"/>
      <sheetName val="rsklibSimData"/>
      <sheetName val="Assumptions"/>
      <sheetName val="Establishment"/>
      <sheetName val="Management"/>
      <sheetName val="Harvest &amp; Transportation"/>
      <sheetName val="Parameters List"/>
      <sheetName val="Farm Machinery Cost Calculation"/>
      <sheetName val="Farm Machinery"/>
      <sheetName val="Oil Extraction"/>
      <sheetName val="Inflator"/>
    </sheetNames>
    <sheetDataSet>
      <sheetData sheetId="0"/>
      <sheetData sheetId="1"/>
      <sheetData sheetId="2"/>
      <sheetData sheetId="3"/>
      <sheetData sheetId="4">
        <row r="18">
          <cell r="C18">
            <v>6.7346938775510221E-2</v>
          </cell>
        </row>
      </sheetData>
      <sheetData sheetId="5"/>
      <sheetData sheetId="6">
        <row r="8">
          <cell r="E8">
            <v>0</v>
          </cell>
        </row>
      </sheetData>
      <sheetData sheetId="7"/>
      <sheetData sheetId="8"/>
      <sheetData sheetId="9">
        <row r="1">
          <cell r="BA1"/>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stablishment"/>
      <sheetName val="Management"/>
      <sheetName val="Harvest"/>
      <sheetName val="Inputs"/>
      <sheetName val="Assumptions"/>
      <sheetName val="Machinery Cost Calculation"/>
      <sheetName val="Machinery Specification"/>
      <sheetName val="Herbicides"/>
      <sheetName val="Fungicides"/>
      <sheetName val="Insecticides"/>
    </sheetNames>
    <sheetDataSet>
      <sheetData sheetId="0"/>
      <sheetData sheetId="1">
        <row r="12">
          <cell r="D12">
            <v>2</v>
          </cell>
        </row>
      </sheetData>
      <sheetData sheetId="2"/>
      <sheetData sheetId="3"/>
      <sheetData sheetId="4"/>
      <sheetData sheetId="5">
        <row r="3">
          <cell r="C3">
            <v>10</v>
          </cell>
        </row>
        <row r="5">
          <cell r="C5">
            <v>1.25</v>
          </cell>
        </row>
        <row r="19">
          <cell r="C19">
            <v>0.85</v>
          </cell>
        </row>
      </sheetData>
      <sheetData sheetId="6">
        <row r="6">
          <cell r="B6" t="str">
            <v xml:space="preserve">No-Till Drill   </v>
          </cell>
        </row>
      </sheetData>
      <sheetData sheetId="7">
        <row r="2">
          <cell r="F2">
            <v>215000</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gmrc.org/commodities-products/grains-oilseeds/pennycres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revenue.support.tn.gov/hc/en-us/articles/203809459-What-qualifies-for-a-Tennessee-agricultural-exemption-"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uaex.edu/farm-ranch/economics-marketing/farm-planning/budgets/T6_CornConv_NoIrr_2021.pdf" TargetMode="External"/><Relationship Id="rId13" Type="http://schemas.openxmlformats.org/officeDocument/2006/relationships/hyperlink" Target="https://farms.extension.wisc.edu/topics/budgets-and-benchmarks/" TargetMode="External"/><Relationship Id="rId3" Type="http://schemas.openxmlformats.org/officeDocument/2006/relationships/hyperlink" Target="https://coststudies.ucdavis.edu/en/current/" TargetMode="External"/><Relationship Id="rId7" Type="http://schemas.openxmlformats.org/officeDocument/2006/relationships/hyperlink" Target="https://farmdoc.illinois.edu/fast-tools/planting-decision-model" TargetMode="External"/><Relationship Id="rId12" Type="http://schemas.openxmlformats.org/officeDocument/2006/relationships/hyperlink" Target="../../../AppData/Local/Microsoft/AppData/Local/Microsoft/Windows/AppData/Local/Downloads/industrial-hemp-grain-production-budget.pdf" TargetMode="External"/><Relationship Id="rId2" Type="http://schemas.openxmlformats.org/officeDocument/2006/relationships/hyperlink" Target="https://www.uidaho.edu/cals/idaho-agbiz/crop-budgets" TargetMode="External"/><Relationship Id="rId1" Type="http://schemas.openxmlformats.org/officeDocument/2006/relationships/hyperlink" Target="https://agecon.uga.edu/extension/budgets.html" TargetMode="External"/><Relationship Id="rId6" Type="http://schemas.openxmlformats.org/officeDocument/2006/relationships/hyperlink" Target="https://www.agmanager.info/sites/default/files/wysiwyg/Corn%20Cost-Return%20Budget%20in%20South%20Central%20Kansas_Average%20Yield_Oct-31-2019.pdf" TargetMode="External"/><Relationship Id="rId11" Type="http://schemas.openxmlformats.org/officeDocument/2006/relationships/hyperlink" Target="https://agecon.uga.edu/extension/budgets.html" TargetMode="External"/><Relationship Id="rId5" Type="http://schemas.openxmlformats.org/officeDocument/2006/relationships/hyperlink" Target="https://extension.sdstate.edu/crop-budgets" TargetMode="External"/><Relationship Id="rId10" Type="http://schemas.openxmlformats.org/officeDocument/2006/relationships/hyperlink" Target="https://agecoext.tamu.edu/resources/crop-livestock-budgets/budgets-by-extension-district/district-5-east/2021-district-5-texas-crop-and-livestock-budgets/" TargetMode="External"/><Relationship Id="rId4" Type="http://schemas.openxmlformats.org/officeDocument/2006/relationships/hyperlink" Target="https://www.uidaho.edu/cals/idaho-agbiz/crop-budgets" TargetMode="External"/><Relationship Id="rId9" Type="http://schemas.openxmlformats.org/officeDocument/2006/relationships/hyperlink" Target="https://arec.tennessee.edu/extension/budgets/" TargetMode="External"/><Relationship Id="rId1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topLeftCell="A16" zoomScale="150" zoomScaleNormal="150" workbookViewId="0">
      <selection activeCell="O30" sqref="O30"/>
    </sheetView>
  </sheetViews>
  <sheetFormatPr defaultColWidth="8.7109375" defaultRowHeight="15" x14ac:dyDescent="0.25"/>
  <cols>
    <col min="1" max="1" width="33.42578125" style="105" customWidth="1"/>
    <col min="2" max="16384" width="8.7109375" style="105"/>
  </cols>
  <sheetData>
    <row r="1" spans="1:9" x14ac:dyDescent="0.25">
      <c r="A1" s="658" t="s">
        <v>493</v>
      </c>
    </row>
    <row r="2" spans="1:9" x14ac:dyDescent="0.25">
      <c r="A2" s="360"/>
    </row>
    <row r="5" spans="1:9" ht="14.45" customHeight="1" x14ac:dyDescent="0.25">
      <c r="A5" s="731" t="s">
        <v>560</v>
      </c>
      <c r="B5" s="731"/>
      <c r="C5" s="731"/>
      <c r="D5" s="731"/>
      <c r="E5" s="731"/>
      <c r="F5" s="731"/>
      <c r="G5" s="731"/>
      <c r="H5" s="731"/>
      <c r="I5" s="731"/>
    </row>
    <row r="6" spans="1:9" x14ac:dyDescent="0.25">
      <c r="A6" s="731"/>
      <c r="B6" s="731"/>
      <c r="C6" s="731"/>
      <c r="D6" s="731"/>
      <c r="E6" s="731"/>
      <c r="F6" s="731"/>
      <c r="G6" s="731"/>
      <c r="H6" s="731"/>
      <c r="I6" s="731"/>
    </row>
    <row r="7" spans="1:9" x14ac:dyDescent="0.25">
      <c r="A7" s="731"/>
      <c r="B7" s="731"/>
      <c r="C7" s="731"/>
      <c r="D7" s="731"/>
      <c r="E7" s="731"/>
      <c r="F7" s="731"/>
      <c r="G7" s="731"/>
      <c r="H7" s="731"/>
      <c r="I7" s="731"/>
    </row>
    <row r="9" spans="1:9" x14ac:dyDescent="0.25">
      <c r="A9" s="366" t="s">
        <v>479</v>
      </c>
    </row>
    <row r="10" spans="1:9" x14ac:dyDescent="0.25">
      <c r="A10" s="105" t="s">
        <v>480</v>
      </c>
      <c r="B10" s="105" t="s">
        <v>481</v>
      </c>
    </row>
    <row r="11" spans="1:9" x14ac:dyDescent="0.25">
      <c r="A11" s="105" t="s">
        <v>492</v>
      </c>
      <c r="B11" s="105" t="s">
        <v>482</v>
      </c>
    </row>
    <row r="12" spans="1:9" x14ac:dyDescent="0.25">
      <c r="A12" s="105" t="s">
        <v>464</v>
      </c>
      <c r="B12" s="105" t="s">
        <v>471</v>
      </c>
    </row>
    <row r="13" spans="1:9" x14ac:dyDescent="0.25">
      <c r="A13" s="105" t="s">
        <v>305</v>
      </c>
      <c r="B13" s="105" t="s">
        <v>472</v>
      </c>
    </row>
    <row r="14" spans="1:9" x14ac:dyDescent="0.25">
      <c r="A14" s="105" t="s">
        <v>465</v>
      </c>
      <c r="B14" s="105" t="s">
        <v>473</v>
      </c>
    </row>
    <row r="15" spans="1:9" x14ac:dyDescent="0.25">
      <c r="A15" s="105" t="s">
        <v>466</v>
      </c>
      <c r="B15" s="105" t="s">
        <v>474</v>
      </c>
    </row>
    <row r="16" spans="1:9" x14ac:dyDescent="0.25">
      <c r="A16" s="105" t="s">
        <v>467</v>
      </c>
      <c r="B16" s="105" t="s">
        <v>475</v>
      </c>
    </row>
    <row r="17" spans="1:9" x14ac:dyDescent="0.25">
      <c r="A17" s="105" t="s">
        <v>468</v>
      </c>
      <c r="B17" s="105" t="s">
        <v>476</v>
      </c>
    </row>
    <row r="18" spans="1:9" x14ac:dyDescent="0.25">
      <c r="A18" s="105" t="s">
        <v>469</v>
      </c>
      <c r="B18" s="727" t="s">
        <v>553</v>
      </c>
      <c r="C18" s="727"/>
      <c r="D18" s="727"/>
      <c r="E18" s="727"/>
      <c r="F18" s="727"/>
      <c r="G18" s="727"/>
      <c r="H18" s="727"/>
      <c r="I18" s="727"/>
    </row>
    <row r="19" spans="1:9" x14ac:dyDescent="0.25">
      <c r="A19" s="105" t="s">
        <v>470</v>
      </c>
      <c r="B19" s="727" t="s">
        <v>477</v>
      </c>
      <c r="C19" s="727"/>
      <c r="D19" s="727"/>
      <c r="E19" s="727"/>
      <c r="F19" s="727"/>
      <c r="G19" s="727"/>
      <c r="H19" s="727"/>
      <c r="I19" s="727"/>
    </row>
    <row r="21" spans="1:9" x14ac:dyDescent="0.25">
      <c r="A21" s="366" t="s">
        <v>478</v>
      </c>
    </row>
    <row r="22" spans="1:9" ht="32.450000000000003" customHeight="1" x14ac:dyDescent="0.25">
      <c r="A22" s="734" t="s">
        <v>561</v>
      </c>
      <c r="B22" s="734"/>
      <c r="C22" s="734"/>
      <c r="D22" s="734"/>
      <c r="E22" s="734"/>
      <c r="F22" s="734"/>
      <c r="G22" s="734"/>
      <c r="H22" s="734"/>
      <c r="I22" s="734"/>
    </row>
    <row r="23" spans="1:9" ht="45.6" customHeight="1" x14ac:dyDescent="0.25">
      <c r="A23" s="732" t="s">
        <v>558</v>
      </c>
      <c r="B23" s="732"/>
      <c r="C23" s="732"/>
      <c r="D23" s="732"/>
      <c r="E23" s="732"/>
      <c r="F23" s="732"/>
      <c r="G23" s="732"/>
      <c r="H23" s="732"/>
      <c r="I23" s="732"/>
    </row>
    <row r="24" spans="1:9" ht="40.5" customHeight="1" x14ac:dyDescent="0.25">
      <c r="A24" s="733" t="s">
        <v>559</v>
      </c>
      <c r="B24" s="733"/>
      <c r="C24" s="733"/>
      <c r="D24" s="733"/>
      <c r="E24" s="733"/>
      <c r="F24" s="733"/>
      <c r="G24" s="733"/>
      <c r="H24" s="733"/>
      <c r="I24" s="733"/>
    </row>
    <row r="25" spans="1:9" ht="49.5" customHeight="1" x14ac:dyDescent="0.25">
      <c r="A25" s="732" t="s">
        <v>563</v>
      </c>
      <c r="B25" s="732"/>
      <c r="C25" s="732"/>
      <c r="D25" s="732"/>
      <c r="E25" s="732"/>
      <c r="F25" s="732"/>
      <c r="G25" s="732"/>
      <c r="H25" s="732"/>
      <c r="I25" s="732"/>
    </row>
    <row r="27" spans="1:9" ht="18.75" customHeight="1" x14ac:dyDescent="0.25">
      <c r="A27" s="767" t="s">
        <v>566</v>
      </c>
      <c r="B27" s="767"/>
      <c r="C27" s="767"/>
      <c r="D27" s="767"/>
      <c r="E27" s="767"/>
      <c r="F27" s="767"/>
      <c r="G27" s="767"/>
      <c r="H27" s="767"/>
      <c r="I27" s="767"/>
    </row>
    <row r="28" spans="1:9" x14ac:dyDescent="0.25">
      <c r="A28" s="767"/>
      <c r="B28" s="767"/>
      <c r="C28" s="767"/>
      <c r="D28" s="767"/>
      <c r="E28" s="767"/>
      <c r="F28" s="767"/>
      <c r="G28" s="767"/>
      <c r="H28" s="767"/>
      <c r="I28" s="767"/>
    </row>
    <row r="29" spans="1:9" ht="54.75" customHeight="1" x14ac:dyDescent="0.25">
      <c r="A29" s="767"/>
      <c r="B29" s="767"/>
      <c r="C29" s="767"/>
      <c r="D29" s="767"/>
      <c r="E29" s="767"/>
      <c r="F29" s="767"/>
      <c r="G29" s="767"/>
      <c r="H29" s="767"/>
      <c r="I29" s="767"/>
    </row>
    <row r="30" spans="1:9" ht="114.75" customHeight="1" x14ac:dyDescent="0.25">
      <c r="A30" s="768" t="s">
        <v>567</v>
      </c>
      <c r="B30" s="768"/>
      <c r="C30" s="768"/>
      <c r="D30" s="768"/>
      <c r="E30" s="768"/>
      <c r="F30" s="768"/>
      <c r="G30" s="768"/>
      <c r="H30" s="768"/>
      <c r="I30" s="768"/>
    </row>
  </sheetData>
  <mergeCells count="7">
    <mergeCell ref="A27:I29"/>
    <mergeCell ref="A30:I30"/>
    <mergeCell ref="A5:I7"/>
    <mergeCell ref="A23:I23"/>
    <mergeCell ref="A24:I24"/>
    <mergeCell ref="A25:I25"/>
    <mergeCell ref="A22:I2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U79"/>
  <sheetViews>
    <sheetView zoomScale="130" zoomScaleNormal="130" workbookViewId="0"/>
  </sheetViews>
  <sheetFormatPr defaultColWidth="8.85546875" defaultRowHeight="15.75" x14ac:dyDescent="0.25"/>
  <cols>
    <col min="1" max="1" width="4.5703125" style="2" customWidth="1"/>
    <col min="2" max="2" width="54.5703125" style="2" bestFit="1" customWidth="1"/>
    <col min="3" max="3" width="9.7109375" style="2" bestFit="1" customWidth="1"/>
    <col min="4" max="4" width="10.5703125" style="2" bestFit="1" customWidth="1"/>
    <col min="5" max="5" width="10.28515625" style="2" bestFit="1" customWidth="1"/>
    <col min="6" max="6" width="13.7109375" style="2" customWidth="1"/>
    <col min="7" max="7" width="29.28515625" style="2" bestFit="1" customWidth="1"/>
    <col min="8" max="8" width="12.28515625" style="2" bestFit="1" customWidth="1"/>
    <col min="9" max="9" width="11" style="2" customWidth="1"/>
    <col min="10" max="10" width="33.42578125" style="2" bestFit="1" customWidth="1"/>
    <col min="11" max="11" width="9.5703125" style="2" bestFit="1" customWidth="1"/>
    <col min="12" max="12" width="8.85546875" style="2"/>
    <col min="13" max="13" width="28.7109375" style="2" bestFit="1" customWidth="1"/>
    <col min="14" max="14" width="9.5703125" style="2" customWidth="1"/>
    <col min="15" max="15" width="8.85546875" style="2"/>
    <col min="16" max="16" width="28.7109375" style="2" customWidth="1"/>
    <col min="17" max="17" width="17.5703125" style="2" customWidth="1"/>
    <col min="18" max="18" width="8.7109375" style="2" customWidth="1"/>
    <col min="19" max="19" width="32.5703125" style="2" bestFit="1" customWidth="1"/>
    <col min="20" max="20" width="8.28515625" style="2" bestFit="1" customWidth="1"/>
    <col min="21" max="21" width="10.42578125" style="2" customWidth="1"/>
    <col min="22" max="22" width="28.7109375" style="2" bestFit="1" customWidth="1"/>
    <col min="23" max="23" width="8.28515625" style="2" bestFit="1" customWidth="1"/>
    <col min="24" max="24" width="11" style="2" customWidth="1"/>
    <col min="25" max="25" width="28.7109375" style="2" bestFit="1" customWidth="1"/>
    <col min="26" max="26" width="8.28515625" style="2" bestFit="1" customWidth="1"/>
    <col min="27" max="27" width="10.5703125" style="2" customWidth="1"/>
    <col min="28" max="28" width="36" style="2" bestFit="1" customWidth="1"/>
    <col min="29" max="29" width="9.5703125" style="2" bestFit="1" customWidth="1"/>
    <col min="30" max="30" width="10.5703125" style="2" customWidth="1"/>
    <col min="31" max="31" width="28.7109375" style="2" bestFit="1" customWidth="1"/>
    <col min="32" max="32" width="9.5703125" style="2" bestFit="1" customWidth="1"/>
    <col min="33" max="33" width="10.140625" style="2" customWidth="1"/>
    <col min="34" max="34" width="28.7109375" style="2" bestFit="1" customWidth="1"/>
    <col min="35" max="35" width="9.85546875" style="2" customWidth="1"/>
    <col min="36" max="36" width="8.85546875" style="2"/>
    <col min="37" max="37" width="28.7109375" style="2" bestFit="1" customWidth="1"/>
    <col min="38" max="38" width="10.85546875" style="2" bestFit="1" customWidth="1"/>
    <col min="39" max="39" width="12" style="2" customWidth="1"/>
    <col min="40" max="40" width="28.7109375" style="2" bestFit="1" customWidth="1"/>
    <col min="41" max="41" width="10.5703125" style="2" customWidth="1"/>
    <col min="42" max="42" width="8.85546875" style="2"/>
    <col min="43" max="43" width="33.5703125" style="2" customWidth="1"/>
    <col min="44" max="44" width="12.28515625" style="2" customWidth="1"/>
    <col min="45" max="45" width="8.85546875" style="2"/>
    <col min="46" max="46" width="33.42578125" style="2" customWidth="1"/>
    <col min="47" max="47" width="8.85546875" style="2"/>
    <col min="48" max="48" width="10.7109375" style="2" customWidth="1"/>
    <col min="49" max="49" width="34.5703125" style="2" customWidth="1"/>
    <col min="50" max="51" width="8.85546875" style="2"/>
    <col min="52" max="52" width="38.140625" style="2" customWidth="1"/>
    <col min="53" max="53" width="9.85546875" style="2" bestFit="1" customWidth="1"/>
    <col min="54" max="54" width="8.85546875" style="2"/>
    <col min="55" max="55" width="28.85546875" style="2" customWidth="1"/>
    <col min="56" max="56" width="13.140625" style="2" customWidth="1"/>
    <col min="57" max="57" width="8.85546875" style="2"/>
    <col min="58" max="58" width="9.140625" style="2" bestFit="1" customWidth="1"/>
    <col min="59" max="59" width="9" style="2" bestFit="1" customWidth="1"/>
    <col min="60" max="60" width="10.42578125" style="2" bestFit="1" customWidth="1"/>
    <col min="61" max="61" width="9" style="2" bestFit="1" customWidth="1"/>
    <col min="62" max="62" width="9.28515625" style="2" bestFit="1" customWidth="1"/>
    <col min="63" max="63" width="8.85546875" style="2"/>
    <col min="64" max="64" width="9" style="2" bestFit="1" customWidth="1"/>
    <col min="65" max="16384" width="8.85546875" style="2"/>
  </cols>
  <sheetData>
    <row r="1" spans="1:73" x14ac:dyDescent="0.25">
      <c r="A1" s="113"/>
      <c r="B1" s="273" t="s">
        <v>97</v>
      </c>
      <c r="C1" s="113"/>
      <c r="D1" s="113"/>
      <c r="E1" s="113"/>
      <c r="F1" s="4"/>
      <c r="G1" s="148" t="s">
        <v>84</v>
      </c>
      <c r="H1" s="149"/>
      <c r="J1" s="273" t="s">
        <v>85</v>
      </c>
      <c r="K1" s="278"/>
      <c r="L1" s="63"/>
      <c r="M1" s="148" t="s">
        <v>86</v>
      </c>
      <c r="N1" s="149"/>
      <c r="P1" s="148" t="s">
        <v>87</v>
      </c>
      <c r="Q1" s="149"/>
      <c r="R1" s="14"/>
      <c r="S1" s="148" t="s">
        <v>88</v>
      </c>
      <c r="T1" s="149"/>
      <c r="V1" s="563" t="s">
        <v>89</v>
      </c>
      <c r="W1" s="149"/>
      <c r="Y1" s="148" t="s">
        <v>90</v>
      </c>
      <c r="Z1" s="149"/>
      <c r="AB1" s="563" t="s">
        <v>91</v>
      </c>
      <c r="AC1" s="113"/>
      <c r="AE1" s="148" t="s">
        <v>92</v>
      </c>
      <c r="AF1" s="149"/>
      <c r="AH1" s="273" t="s">
        <v>93</v>
      </c>
      <c r="AI1" s="278"/>
      <c r="AK1" s="563" t="s">
        <v>94</v>
      </c>
      <c r="AL1" s="113"/>
      <c r="AM1" s="274"/>
      <c r="AN1" s="276" t="s">
        <v>99</v>
      </c>
      <c r="AO1" s="310"/>
      <c r="AP1" s="274"/>
      <c r="AQ1" s="148" t="s">
        <v>227</v>
      </c>
      <c r="AR1" s="302"/>
      <c r="AS1" s="244"/>
      <c r="AT1" s="563" t="s">
        <v>234</v>
      </c>
      <c r="AU1" s="310"/>
      <c r="AV1" s="274"/>
      <c r="AW1" s="563" t="s">
        <v>237</v>
      </c>
      <c r="AX1" s="310"/>
      <c r="AY1" s="274"/>
      <c r="AZ1" s="563" t="s">
        <v>279</v>
      </c>
      <c r="BA1" s="310"/>
      <c r="BB1" s="274"/>
      <c r="BC1" s="563" t="s">
        <v>384</v>
      </c>
      <c r="BD1" s="310"/>
      <c r="BE1" s="274"/>
      <c r="BF1" s="274"/>
      <c r="BG1" s="274"/>
    </row>
    <row r="2" spans="1:73" x14ac:dyDescent="0.25">
      <c r="C2" s="15" t="s">
        <v>60</v>
      </c>
      <c r="D2" s="15" t="s">
        <v>62</v>
      </c>
      <c r="E2" s="15" t="s">
        <v>16</v>
      </c>
      <c r="F2" s="4"/>
      <c r="G2" s="246" t="str">
        <f>'Farm Machinery'!B2</f>
        <v>Tractor, 215 H.P.,W/Cab, Air</v>
      </c>
      <c r="H2" s="251" t="s">
        <v>1</v>
      </c>
      <c r="J2" s="269" t="str">
        <f>'Farm Machinery'!B3</f>
        <v xml:space="preserve">Tractor, 150 H.P.,W/Cab, Air       </v>
      </c>
      <c r="K2" s="275" t="s">
        <v>1</v>
      </c>
      <c r="L2" s="63"/>
      <c r="M2" s="246" t="str">
        <f>'Farm Machinery'!B4</f>
        <v xml:space="preserve">NT Grain Drill (20 ft)  </v>
      </c>
      <c r="N2" s="251" t="s">
        <v>1</v>
      </c>
      <c r="P2" s="246" t="str">
        <f>'Farm Machinery'!B5</f>
        <v>Sprayer, S.P,, 90` boom</v>
      </c>
      <c r="Q2" s="251" t="s">
        <v>1</v>
      </c>
      <c r="S2" s="246" t="str">
        <f>'Farm Machinery'!B6</f>
        <v xml:space="preserve">Rotary Mower       </v>
      </c>
      <c r="T2" s="251" t="s">
        <v>1</v>
      </c>
      <c r="V2" s="246" t="str">
        <f>'Farm Machinery'!B7</f>
        <v>Mower Conditioner</v>
      </c>
      <c r="W2" s="251" t="s">
        <v>1</v>
      </c>
      <c r="Y2" s="246" t="str">
        <f>'Farm Machinery'!B8</f>
        <v>Rake</v>
      </c>
      <c r="Z2" s="251" t="s">
        <v>1</v>
      </c>
      <c r="AB2" s="246" t="str">
        <f>'Farm Machinery'!B9</f>
        <v>3' x 4 'x 8' Large Rectangular Baler</v>
      </c>
      <c r="AC2" s="251" t="s">
        <v>1</v>
      </c>
      <c r="AE2" s="246" t="str">
        <f>'Farm Machinery'!B10</f>
        <v>Front End Loader</v>
      </c>
      <c r="AF2" s="251" t="s">
        <v>1</v>
      </c>
      <c r="AH2" s="246" t="str">
        <f>'Farm Machinery'!B11</f>
        <v>Pickup Truck</v>
      </c>
      <c r="AI2" s="251" t="s">
        <v>1</v>
      </c>
      <c r="AK2" s="246" t="str">
        <f>'Farm Machinery'!B12</f>
        <v>Semi-Tractor/Trailer</v>
      </c>
      <c r="AL2" s="251" t="s">
        <v>1</v>
      </c>
      <c r="AM2" s="274"/>
      <c r="AN2" s="276" t="s">
        <v>98</v>
      </c>
      <c r="AO2" s="277" t="s">
        <v>1</v>
      </c>
      <c r="AP2" s="274"/>
      <c r="AQ2" s="246" t="s">
        <v>228</v>
      </c>
      <c r="AR2" s="251" t="s">
        <v>1</v>
      </c>
      <c r="AS2" s="216"/>
      <c r="AT2" s="246" t="s">
        <v>233</v>
      </c>
      <c r="AU2" s="251" t="s">
        <v>1</v>
      </c>
      <c r="AV2" s="244"/>
      <c r="AW2" s="246" t="s">
        <v>488</v>
      </c>
      <c r="AX2" s="251" t="s">
        <v>1</v>
      </c>
      <c r="AY2" s="274"/>
      <c r="AZ2" s="14" t="s">
        <v>277</v>
      </c>
      <c r="BA2" s="251" t="s">
        <v>1</v>
      </c>
      <c r="BB2" s="274"/>
      <c r="BC2" s="14" t="s">
        <v>385</v>
      </c>
      <c r="BD2" s="251" t="s">
        <v>1</v>
      </c>
      <c r="BE2" s="274"/>
      <c r="BF2" s="274"/>
      <c r="BG2" s="274"/>
    </row>
    <row r="3" spans="1:73" x14ac:dyDescent="0.25">
      <c r="A3" s="113" t="s">
        <v>78</v>
      </c>
      <c r="B3" s="278" t="str">
        <f>'Farm Machinery'!B1</f>
        <v>Machinery</v>
      </c>
      <c r="C3" s="111" t="s">
        <v>61</v>
      </c>
      <c r="D3" s="111" t="s">
        <v>61</v>
      </c>
      <c r="E3" s="111" t="s">
        <v>52</v>
      </c>
      <c r="F3" s="4"/>
      <c r="G3" s="279" t="s">
        <v>35</v>
      </c>
      <c r="H3" s="279">
        <f>PTO_Machine1*FF1_Machine1*FF2_Machine1</f>
        <v>9.4169999999999998</v>
      </c>
      <c r="J3" s="566" t="s">
        <v>35</v>
      </c>
      <c r="K3" s="566">
        <f>PTO_Machine2*FF1_Machine2*FF2_Machine2</f>
        <v>6.5699999999999994</v>
      </c>
      <c r="L3" s="63"/>
      <c r="M3" s="279" t="s">
        <v>35</v>
      </c>
      <c r="N3" s="279">
        <f>(FF2_Machine3*PTO_Machine3*FF1_Machine3)</f>
        <v>0</v>
      </c>
      <c r="P3" s="279" t="s">
        <v>35</v>
      </c>
      <c r="Q3" s="279">
        <f>(FF2_Machine4*PTO_Machine4*FF1_Machine4)</f>
        <v>8.76</v>
      </c>
      <c r="R3" s="240"/>
      <c r="S3" s="279" t="s">
        <v>35</v>
      </c>
      <c r="T3" s="279">
        <f>(FF2_Machine4*PTO_Machine5*FF1_Machine5)</f>
        <v>0</v>
      </c>
      <c r="V3" s="587" t="s">
        <v>35</v>
      </c>
      <c r="W3" s="587">
        <f>(FF2_Machine6*PTO_Machine6*FF1_Machine6)</f>
        <v>0</v>
      </c>
      <c r="Y3" s="587" t="s">
        <v>35</v>
      </c>
      <c r="Z3" s="587">
        <f>(FF2_Machine7*PTO_Machine7*FF1_Machine7)</f>
        <v>0</v>
      </c>
      <c r="AB3" s="587" t="s">
        <v>35</v>
      </c>
      <c r="AC3" s="587">
        <f>(FF2_Machine8*PTO_Machine8*FF1_Machine8)</f>
        <v>0</v>
      </c>
      <c r="AE3" s="587" t="s">
        <v>35</v>
      </c>
      <c r="AF3" s="587">
        <f>(FF2_Machine9*PTO_Machine9*FF1_Machine9)</f>
        <v>0</v>
      </c>
      <c r="AH3" s="587" t="s">
        <v>35</v>
      </c>
      <c r="AI3" s="587">
        <f>FF2_Machine10*PTO_Machine10*FF1_Machine10</f>
        <v>2</v>
      </c>
      <c r="AK3" s="279" t="s">
        <v>35</v>
      </c>
      <c r="AL3" s="279">
        <f>(FF2_Machine11*PTO_Machine11*FF1_Machine11)</f>
        <v>22.118999999999996</v>
      </c>
      <c r="AM3" s="274"/>
      <c r="AN3" s="612" t="s">
        <v>35</v>
      </c>
      <c r="AO3" s="612">
        <v>0</v>
      </c>
      <c r="AP3" s="274"/>
      <c r="AQ3" s="279" t="s">
        <v>35</v>
      </c>
      <c r="AR3" s="279">
        <f>PTO_Machine13*FF1_Machine13*FF2_Machine13</f>
        <v>19.71</v>
      </c>
      <c r="AS3" s="262"/>
      <c r="AT3" s="279" t="s">
        <v>35</v>
      </c>
      <c r="AU3" s="279">
        <v>0</v>
      </c>
      <c r="AV3" s="216"/>
      <c r="AW3" s="279" t="s">
        <v>35</v>
      </c>
      <c r="AX3" s="279">
        <v>0</v>
      </c>
      <c r="AY3" s="274"/>
      <c r="AZ3" s="279" t="s">
        <v>35</v>
      </c>
      <c r="BA3" s="279">
        <v>0</v>
      </c>
      <c r="BB3" s="274"/>
      <c r="BC3" s="279" t="s">
        <v>35</v>
      </c>
      <c r="BD3" s="279">
        <v>0</v>
      </c>
      <c r="BE3" s="274"/>
      <c r="BF3" s="274"/>
      <c r="BG3" s="274"/>
    </row>
    <row r="4" spans="1:73" x14ac:dyDescent="0.25">
      <c r="A4" s="2">
        <v>1</v>
      </c>
      <c r="B4" s="147" t="str">
        <f>G2</f>
        <v>Tractor, 215 H.P.,W/Cab, Air</v>
      </c>
      <c r="C4" s="280">
        <f>$H$13</f>
        <v>40.747510508823531</v>
      </c>
      <c r="D4" s="280">
        <f>$H$16</f>
        <v>23.343414696663189</v>
      </c>
      <c r="E4" s="280">
        <f>$H$20</f>
        <v>65.313350520751413</v>
      </c>
      <c r="F4" s="4"/>
      <c r="G4" s="63" t="s">
        <v>24</v>
      </c>
      <c r="H4" s="238">
        <f>PP_Machine1/purchase_list_factor</f>
        <v>294117.64705882355</v>
      </c>
      <c r="J4" s="178" t="s">
        <v>24</v>
      </c>
      <c r="K4" s="177">
        <f>PP_Machine2/purchase_list_factor</f>
        <v>176470.58823529413</v>
      </c>
      <c r="L4" s="63"/>
      <c r="M4" s="63" t="s">
        <v>24</v>
      </c>
      <c r="N4" s="238">
        <f>PP_Machine3/purchase_list_factor</f>
        <v>88235.294117647063</v>
      </c>
      <c r="P4" s="63" t="s">
        <v>24</v>
      </c>
      <c r="Q4" s="238">
        <f>PP_Machine4/purchase_list_factor</f>
        <v>294117.64705882355</v>
      </c>
      <c r="S4" s="63" t="s">
        <v>24</v>
      </c>
      <c r="T4" s="238">
        <f>PP_Machine5/purchase_list_factor</f>
        <v>47058.823529411769</v>
      </c>
      <c r="V4" s="168" t="s">
        <v>24</v>
      </c>
      <c r="W4" s="164">
        <f>PP_Machine6/purchase_list_factor</f>
        <v>7647.0588235294117</v>
      </c>
      <c r="Y4" s="164" t="s">
        <v>24</v>
      </c>
      <c r="Z4" s="164">
        <f>PP_Machine7/purchase_list_factor</f>
        <v>3529.4117647058824</v>
      </c>
      <c r="AB4" s="164" t="s">
        <v>24</v>
      </c>
      <c r="AC4" s="164">
        <f>PP_Machine8/purchase_list_factor</f>
        <v>103176.4705882353</v>
      </c>
      <c r="AE4" s="164" t="s">
        <v>24</v>
      </c>
      <c r="AF4" s="164">
        <f>PP_Machine9/purchase_list_factor</f>
        <v>8823.5294117647063</v>
      </c>
      <c r="AH4" s="164" t="s">
        <v>24</v>
      </c>
      <c r="AI4" s="164">
        <f>PP_Machine10/purchase_list_factor</f>
        <v>29411.764705882353</v>
      </c>
      <c r="AK4" s="238" t="s">
        <v>24</v>
      </c>
      <c r="AL4" s="281">
        <f>PP_Machine11/purchase_list_factor</f>
        <v>148186.64934112981</v>
      </c>
      <c r="AM4" s="274"/>
      <c r="AN4" s="612" t="s">
        <v>24</v>
      </c>
      <c r="AO4" s="613">
        <f>PP_Machine12/purchase_list_factor</f>
        <v>3000</v>
      </c>
      <c r="AP4" s="274"/>
      <c r="AQ4" s="63" t="s">
        <v>24</v>
      </c>
      <c r="AR4" s="238">
        <f>'Farm Machinery'!D14/0.85</f>
        <v>352941.17647058825</v>
      </c>
      <c r="AS4" s="282"/>
      <c r="AT4" s="63" t="s">
        <v>24</v>
      </c>
      <c r="AU4" s="238">
        <f>PP_Machine14/purchase_list_factor</f>
        <v>41176.470588235294</v>
      </c>
      <c r="AV4" s="262"/>
      <c r="AW4" s="63" t="s">
        <v>24</v>
      </c>
      <c r="AX4" s="238">
        <f>PP_Machine15/purchase_list_factor</f>
        <v>41176.470588235294</v>
      </c>
      <c r="AY4" s="274"/>
      <c r="AZ4" s="63" t="s">
        <v>24</v>
      </c>
      <c r="BA4" s="238">
        <f>PP_Machine16/purchase_list_factor</f>
        <v>23529.411764705885</v>
      </c>
      <c r="BB4" s="274"/>
      <c r="BC4" s="63" t="s">
        <v>24</v>
      </c>
      <c r="BD4" s="238">
        <f>PP_Machine17/purchase_list_factor</f>
        <v>88235.294117647063</v>
      </c>
      <c r="BE4" s="274"/>
      <c r="BF4" s="274"/>
      <c r="BG4" s="274"/>
    </row>
    <row r="5" spans="1:73" x14ac:dyDescent="0.25">
      <c r="A5" s="2">
        <v>2</v>
      </c>
      <c r="B5" s="63" t="str">
        <f>J2</f>
        <v xml:space="preserve">Tractor, 150 H.P.,W/Cab, Air       </v>
      </c>
      <c r="C5" s="603">
        <f>$K$13</f>
        <v>33.402503911764704</v>
      </c>
      <c r="D5" s="603">
        <f>$K$16</f>
        <v>22.541034137730023</v>
      </c>
      <c r="E5" s="603">
        <f>$K$20</f>
        <v>56.945613166847664</v>
      </c>
      <c r="F5" s="4"/>
      <c r="G5" s="282" t="s">
        <v>36</v>
      </c>
      <c r="H5" s="282">
        <f>HUL_Machine1/HUY_Machine1</f>
        <v>13.333333333333334</v>
      </c>
      <c r="J5" s="567" t="s">
        <v>36</v>
      </c>
      <c r="K5" s="567">
        <f>HUL_Machine2/HUY_Machine2</f>
        <v>18.018018018018019</v>
      </c>
      <c r="L5" s="63"/>
      <c r="M5" s="282" t="s">
        <v>36</v>
      </c>
      <c r="N5" s="282">
        <f>HUL_Machine3/HUY_Machine3</f>
        <v>6.3559322033898304</v>
      </c>
      <c r="P5" s="282" t="s">
        <v>36</v>
      </c>
      <c r="Q5" s="282">
        <f>HUL_Machine4/HUY_Machine4</f>
        <v>23.4375</v>
      </c>
      <c r="S5" s="282" t="s">
        <v>36</v>
      </c>
      <c r="T5" s="282">
        <f>HUL_Machine5/HUY_Machine5</f>
        <v>12.738853503184714</v>
      </c>
      <c r="V5" s="588" t="s">
        <v>36</v>
      </c>
      <c r="W5" s="588">
        <f>HUL_Machine6/HUY_Machine6</f>
        <v>6.1538461538461542</v>
      </c>
      <c r="Y5" s="588" t="s">
        <v>36</v>
      </c>
      <c r="Z5" s="588">
        <f>HUL_Machine7/HUY_Machine7</f>
        <v>7.6923076923076925</v>
      </c>
      <c r="AB5" s="588" t="s">
        <v>36</v>
      </c>
      <c r="AC5" s="588">
        <f>HUL_Machine8/HUY_Machine8</f>
        <v>9.2307692307692299</v>
      </c>
      <c r="AE5" s="588" t="s">
        <v>36</v>
      </c>
      <c r="AF5" s="588">
        <f>HUL_Machine9/HUY_Machine9</f>
        <v>2.3529411764705883</v>
      </c>
      <c r="AH5" s="588" t="s">
        <v>36</v>
      </c>
      <c r="AI5" s="588">
        <f>HUL_Machine10/HUY_Machine10</f>
        <v>40</v>
      </c>
      <c r="AK5" s="282" t="s">
        <v>36</v>
      </c>
      <c r="AL5" s="282">
        <f>HUL_Machine11/HUY_Machine11</f>
        <v>22</v>
      </c>
      <c r="AM5" s="274"/>
      <c r="AN5" s="612" t="s">
        <v>36</v>
      </c>
      <c r="AO5" s="612">
        <f>HUL_Machine12/HUY_Machine12</f>
        <v>10</v>
      </c>
      <c r="AP5" s="274"/>
      <c r="AQ5" s="282" t="s">
        <v>36</v>
      </c>
      <c r="AR5" s="244">
        <f>HUL_Machine13/HUY_Machine13</f>
        <v>6.5502183406113534</v>
      </c>
      <c r="AS5" s="244"/>
      <c r="AT5" s="282" t="s">
        <v>36</v>
      </c>
      <c r="AU5" s="244">
        <f>HUL_Machine14/HUY_Machine14</f>
        <v>7.6530612244897958</v>
      </c>
      <c r="AV5" s="282"/>
      <c r="AW5" s="282" t="s">
        <v>36</v>
      </c>
      <c r="AX5" s="282">
        <f>HUL_Machine15/HUY_Machine15</f>
        <v>6.5502183406113534</v>
      </c>
      <c r="AY5" s="274"/>
      <c r="AZ5" s="282" t="s">
        <v>36</v>
      </c>
      <c r="BA5" s="282">
        <f>HUL_Machine16/HUY_Machine16</f>
        <v>8.8888888888888893</v>
      </c>
      <c r="BB5" s="274"/>
      <c r="BC5" s="282" t="s">
        <v>36</v>
      </c>
      <c r="BD5" s="282">
        <f>HUL_Machine17/HUY_Machine17</f>
        <v>13.422818791946309</v>
      </c>
      <c r="BE5" s="274"/>
      <c r="BF5" s="274"/>
      <c r="BG5" s="274"/>
    </row>
    <row r="6" spans="1:73" ht="14.1" customHeight="1" x14ac:dyDescent="0.25">
      <c r="A6" s="2">
        <v>3</v>
      </c>
      <c r="B6" s="147" t="str">
        <f>M2</f>
        <v xml:space="preserve">NT Grain Drill (20 ft)  </v>
      </c>
      <c r="C6" s="280">
        <f>$N$13</f>
        <v>44.10549503967858</v>
      </c>
      <c r="D6" s="280">
        <f>$N$16</f>
        <v>42.452356049931069</v>
      </c>
      <c r="E6" s="280">
        <f>$N$20</f>
        <v>87.881015940799998</v>
      </c>
      <c r="F6" s="283"/>
      <c r="G6" s="284" t="s">
        <v>37</v>
      </c>
      <c r="H6" s="285">
        <f>(SVF1_Machine1-SVF2_Machine1*(YUL_Machine1^0.5)-SVF3_Machine1*(HUY_Machine1^0.5))^2</f>
        <v>0.22624816136316306</v>
      </c>
      <c r="I6" s="286"/>
      <c r="J6" s="568" t="s">
        <v>37</v>
      </c>
      <c r="K6" s="569">
        <f>(SVF1_Machine2-SVF2_Machine2*K5^0.5-SVF3_Machine2*(HUL_Machine2/K5)^0.5)^2</f>
        <v>0.17794888233698009</v>
      </c>
      <c r="L6" s="63"/>
      <c r="M6" s="284" t="s">
        <v>37</v>
      </c>
      <c r="N6" s="285">
        <f>(SVF1_Machine3-SVF2_Machine3*(YUL_Machine3^0.5)-SVF3_Machine3*(HUY_Machine3^0.5))^2</f>
        <v>0.47108236405354514</v>
      </c>
      <c r="P6" s="284" t="s">
        <v>37</v>
      </c>
      <c r="Q6" s="285">
        <f>(SVF1_Machine4-SVF2_Machine4*YUL_Machine4^0.5-SVF3_Machine4*(HUY_Machine4)^0.5)^2</f>
        <v>0.16453047300607759</v>
      </c>
      <c r="S6" s="284" t="s">
        <v>37</v>
      </c>
      <c r="T6" s="285">
        <f>(SVF1_Machine5-SVF2_Machine5*T5^0.5-SVF3_Machine5*(HUL_Machine5/T5)^0.5)^2</f>
        <v>0.26715123267285273</v>
      </c>
      <c r="V6" s="589" t="s">
        <v>37</v>
      </c>
      <c r="W6" s="590">
        <f>(SVF1_Machine6-SVF2_Machine6*W5^0.5-SVF3_Machine6*(HUL_Machine6/W5)^0.5)^2</f>
        <v>0.34785632032811198</v>
      </c>
      <c r="Y6" s="589" t="s">
        <v>37</v>
      </c>
      <c r="Z6" s="590">
        <f>(SVF1_Machine7-SVF2_Machine7*Z5^0.5-SVF3_Machine7*(HUL_Machine7/Z5)^0.5)^2</f>
        <v>0.32510002583876613</v>
      </c>
      <c r="AA6" s="288"/>
      <c r="AB6" s="589" t="s">
        <v>37</v>
      </c>
      <c r="AC6" s="590">
        <f>(SVF1_Machine8-SVF2_Machine8*AC5^0.5-SVF3_Machine8*(HUL_Machine8/AC5)^0.5)^2</f>
        <v>0.29596285738139194</v>
      </c>
      <c r="AD6" s="288"/>
      <c r="AE6" s="589" t="s">
        <v>37</v>
      </c>
      <c r="AF6" s="590">
        <f>(SVF1_Machine9-SVF2_Machine9*AF5^0.5-SVF3_Machine9*(HUL_Machine9/AF5)^0.5)^2</f>
        <v>0.38599450645803746</v>
      </c>
      <c r="AH6" s="589" t="s">
        <v>37</v>
      </c>
      <c r="AI6" s="590">
        <f>(SVF1_Machine10-SVF2_Machine10*AL5^0.5-SVF3_Machine10*(HUL_Machine10/AL5)^0.5)^2</f>
        <v>9.9856E-2</v>
      </c>
      <c r="AK6" s="284" t="s">
        <v>37</v>
      </c>
      <c r="AL6" s="285">
        <f>(SVF1_Machine11-SVF2_Machine11*YUL_Machine11^0.5-SVF3_Machine11*(HUL_Machine11/AL5)^0.5)^2</f>
        <v>0.12871187588353772</v>
      </c>
      <c r="AM6" s="274"/>
      <c r="AN6" s="612" t="s">
        <v>37</v>
      </c>
      <c r="AO6" s="620" t="s">
        <v>8</v>
      </c>
      <c r="AP6" s="289"/>
      <c r="AQ6" s="284" t="s">
        <v>37</v>
      </c>
      <c r="AR6" s="285">
        <f>(SVF1_Machine13-SVF2_Machine13*(YUL_Machine13^0.5)-SVF3_Machine13*(HUY_Machine13^0.5))^2</f>
        <v>0.2922933507912841</v>
      </c>
      <c r="AS6" s="281"/>
      <c r="AT6" s="284" t="s">
        <v>37</v>
      </c>
      <c r="AU6" s="285">
        <f>(SVF1_Machine14-SVF2_Machine14*(YUL_Machine14^0.5)-SVF3_Machine14*(HUY_Machine14^0.5))^2</f>
        <v>0.3191586142371885</v>
      </c>
      <c r="AV6" s="244"/>
      <c r="AW6" s="284" t="s">
        <v>37</v>
      </c>
      <c r="AX6" s="285">
        <f>(SVF1_Machine15-SVF2_Machine15*(YUL_Machine15^0.5)-SVF3_Machine15*(HUY_Machine15^0.5))^2</f>
        <v>0.43416676693518985</v>
      </c>
      <c r="AY6" s="289"/>
      <c r="AZ6" s="284" t="s">
        <v>37</v>
      </c>
      <c r="BA6" s="285">
        <f>(SVF1_Machine16-SVF2_Machine16*(YUL_Machine16^0.5)-SVF3_Machine16*(HUY_Machine16^0.5))^2</f>
        <v>0.37461981757643864</v>
      </c>
      <c r="BB6" s="289"/>
      <c r="BC6" s="284" t="s">
        <v>37</v>
      </c>
      <c r="BD6" s="285">
        <f>(SVF1_Machine17-SVF2_Machine17*(YUL_Machine17^0.5)-SVF3_Machine17*(HUY_Machine17^0.5))^2</f>
        <v>0.23813539371364012</v>
      </c>
      <c r="BE6" s="289"/>
      <c r="BF6" s="290"/>
      <c r="BG6" s="289"/>
    </row>
    <row r="7" spans="1:73" ht="13.5" customHeight="1" x14ac:dyDescent="0.25">
      <c r="A7" s="2">
        <v>4</v>
      </c>
      <c r="B7" s="147" t="str">
        <f>P2</f>
        <v>Sprayer, S.P,, 90` boom</v>
      </c>
      <c r="C7" s="280">
        <f>$Q$13</f>
        <v>160.95791998156199</v>
      </c>
      <c r="D7" s="280">
        <f>$Q$16</f>
        <v>355.24057691304995</v>
      </c>
      <c r="E7" s="280">
        <f>$Q$20</f>
        <v>521.0272344940588</v>
      </c>
      <c r="F7" s="4"/>
      <c r="G7" s="291" t="s">
        <v>7</v>
      </c>
      <c r="H7" s="292">
        <f>H4*H6</f>
        <v>66543.576871518555</v>
      </c>
      <c r="J7" s="570" t="s">
        <v>7</v>
      </c>
      <c r="K7" s="571">
        <f>K4*K6</f>
        <v>31402.743941820016</v>
      </c>
      <c r="L7" s="63"/>
      <c r="M7" s="293" t="s">
        <v>7</v>
      </c>
      <c r="N7" s="294">
        <f>N4*N6</f>
        <v>41566.090945901044</v>
      </c>
      <c r="P7" s="293" t="s">
        <v>7</v>
      </c>
      <c r="Q7" s="294">
        <f>Q4*Q6</f>
        <v>48391.315590022823</v>
      </c>
      <c r="S7" s="293" t="s">
        <v>7</v>
      </c>
      <c r="T7" s="294">
        <f>T4*T6</f>
        <v>12571.8227140166</v>
      </c>
      <c r="V7" s="591" t="s">
        <v>7</v>
      </c>
      <c r="W7" s="592">
        <f>W4*W6</f>
        <v>2660.0777436855624</v>
      </c>
      <c r="Y7" s="606" t="s">
        <v>7</v>
      </c>
      <c r="Z7" s="592">
        <f>Z4*Z6</f>
        <v>1147.4118559015276</v>
      </c>
      <c r="AB7" s="606" t="s">
        <v>7</v>
      </c>
      <c r="AC7" s="592">
        <f>AC4*AC6</f>
        <v>30536.403049821263</v>
      </c>
      <c r="AE7" s="606" t="s">
        <v>7</v>
      </c>
      <c r="AF7" s="592">
        <f>AF4*AF6</f>
        <v>3405.8338805120952</v>
      </c>
      <c r="AH7" s="606" t="s">
        <v>7</v>
      </c>
      <c r="AI7" s="592">
        <f>AI4*AI6</f>
        <v>2936.9411764705883</v>
      </c>
      <c r="AK7" s="291" t="s">
        <v>7</v>
      </c>
      <c r="AL7" s="292">
        <f>AL4*AL6</f>
        <v>19073.381617592826</v>
      </c>
      <c r="AM7" s="274"/>
      <c r="AN7" s="612" t="s">
        <v>7</v>
      </c>
      <c r="AO7" s="620" t="s">
        <v>8</v>
      </c>
      <c r="AP7" s="289"/>
      <c r="AQ7" s="291" t="s">
        <v>7</v>
      </c>
      <c r="AR7" s="292">
        <f>AR4*AR6</f>
        <v>103162.35910280616</v>
      </c>
      <c r="AT7" s="291" t="s">
        <v>7</v>
      </c>
      <c r="AU7" s="292">
        <f>AU4*AU6</f>
        <v>13141.825292119527</v>
      </c>
      <c r="AV7" s="281"/>
      <c r="AW7" s="291" t="s">
        <v>7</v>
      </c>
      <c r="AX7" s="292">
        <f>AX4*AX6</f>
        <v>17877.455109096052</v>
      </c>
      <c r="AY7" s="289"/>
      <c r="AZ7" s="291" t="s">
        <v>7</v>
      </c>
      <c r="BA7" s="292">
        <f>BA4*BA6</f>
        <v>8814.5839429750285</v>
      </c>
      <c r="BB7" s="289"/>
      <c r="BC7" s="291" t="s">
        <v>7</v>
      </c>
      <c r="BD7" s="292">
        <f>BD4*BD6</f>
        <v>21011.946504144718</v>
      </c>
      <c r="BE7" s="289"/>
      <c r="BF7" s="289"/>
      <c r="BG7" s="289"/>
    </row>
    <row r="8" spans="1:73" x14ac:dyDescent="0.25">
      <c r="A8" s="2">
        <v>5</v>
      </c>
      <c r="B8" s="147" t="str">
        <f>S2</f>
        <v xml:space="preserve">Rotary Mower       </v>
      </c>
      <c r="C8" s="280">
        <f>$T$13</f>
        <v>41.411764705882355</v>
      </c>
      <c r="D8" s="280">
        <f>$T$16</f>
        <v>28.494919220422304</v>
      </c>
      <c r="E8" s="280">
        <f>$T$20</f>
        <v>71.149036867481129</v>
      </c>
      <c r="F8" s="4"/>
      <c r="G8" s="287"/>
      <c r="H8" s="261">
        <f>fuel_gal</f>
        <v>2.4590000000000001</v>
      </c>
      <c r="J8" s="568"/>
      <c r="K8" s="572"/>
      <c r="L8" s="63"/>
      <c r="M8" s="287"/>
      <c r="N8" s="261"/>
      <c r="P8" s="287"/>
      <c r="Q8" s="261"/>
      <c r="S8" s="287"/>
      <c r="T8" s="261"/>
      <c r="V8" s="568"/>
      <c r="W8" s="572"/>
      <c r="Y8" s="568"/>
      <c r="Z8" s="572"/>
      <c r="AA8" s="295"/>
      <c r="AB8" s="568"/>
      <c r="AC8" s="572"/>
      <c r="AD8" s="295"/>
      <c r="AE8" s="610"/>
      <c r="AF8" s="611"/>
      <c r="AH8" s="610"/>
      <c r="AI8" s="611"/>
      <c r="AK8" s="296"/>
      <c r="AL8" s="297">
        <f>fuel_gal</f>
        <v>2.4590000000000001</v>
      </c>
      <c r="AM8" s="274"/>
      <c r="AN8" s="612"/>
      <c r="AO8" s="620"/>
      <c r="AP8" s="289"/>
      <c r="AQ8" s="287"/>
      <c r="AR8" s="298"/>
      <c r="AT8" s="287"/>
      <c r="AU8" s="261"/>
      <c r="AW8" s="287"/>
      <c r="AX8" s="261"/>
      <c r="AY8" s="289"/>
      <c r="AZ8" s="287"/>
      <c r="BA8" s="261"/>
      <c r="BB8" s="289"/>
      <c r="BC8" s="287"/>
      <c r="BD8" s="261"/>
      <c r="BE8" s="289"/>
      <c r="BF8" s="289"/>
      <c r="BG8" s="274"/>
    </row>
    <row r="9" spans="1:73" ht="17.25" customHeight="1" x14ac:dyDescent="0.25">
      <c r="A9" s="2">
        <v>6</v>
      </c>
      <c r="B9" s="63" t="str">
        <f>V2</f>
        <v>Mower Conditioner</v>
      </c>
      <c r="C9" s="603">
        <f>$W$13</f>
        <v>5.7144345061297512</v>
      </c>
      <c r="D9" s="603">
        <f>$W$16</f>
        <v>3.1295877703725545</v>
      </c>
      <c r="E9" s="603">
        <f>$W$20</f>
        <v>9.015455311686198</v>
      </c>
      <c r="F9" s="4"/>
      <c r="G9" s="299" t="str">
        <f>G2</f>
        <v>Tractor, 215 H.P.,W/Cab, Air</v>
      </c>
      <c r="H9" s="300" t="str">
        <f>H2</f>
        <v>Item</v>
      </c>
      <c r="J9" s="573" t="str">
        <f>J2</f>
        <v xml:space="preserve">Tractor, 150 H.P.,W/Cab, Air       </v>
      </c>
      <c r="K9" s="574" t="str">
        <f>K2</f>
        <v>Item</v>
      </c>
      <c r="L9" s="63"/>
      <c r="M9" s="299" t="str">
        <f>M2</f>
        <v xml:space="preserve">NT Grain Drill (20 ft)  </v>
      </c>
      <c r="N9" s="300" t="str">
        <f>N2</f>
        <v>Item</v>
      </c>
      <c r="P9" s="299" t="str">
        <f>P2</f>
        <v>Sprayer, S.P,, 90` boom</v>
      </c>
      <c r="Q9" s="300" t="str">
        <f>Q2</f>
        <v>Item</v>
      </c>
      <c r="S9" s="299" t="str">
        <f>S2</f>
        <v xml:space="preserve">Rotary Mower       </v>
      </c>
      <c r="T9" s="300" t="str">
        <f>T2</f>
        <v>Item</v>
      </c>
      <c r="V9" s="573" t="str">
        <f>V2</f>
        <v>Mower Conditioner</v>
      </c>
      <c r="W9" s="574" t="str">
        <f>W2</f>
        <v>Item</v>
      </c>
      <c r="Y9" s="607" t="str">
        <f>Y2</f>
        <v>Rake</v>
      </c>
      <c r="Z9" s="608" t="str">
        <f>Z2</f>
        <v>Item</v>
      </c>
      <c r="AB9" s="573" t="str">
        <f>AB2</f>
        <v>3' x 4 'x 8' Large Rectangular Baler</v>
      </c>
      <c r="AC9" s="574" t="str">
        <f>AC2</f>
        <v>Item</v>
      </c>
      <c r="AE9" s="573" t="str">
        <f>AE2</f>
        <v>Front End Loader</v>
      </c>
      <c r="AF9" s="574" t="str">
        <f>AF2</f>
        <v>Item</v>
      </c>
      <c r="AH9" s="573" t="str">
        <f>AH2</f>
        <v>Pickup Truck</v>
      </c>
      <c r="AI9" s="574" t="str">
        <f>AI2</f>
        <v>Item</v>
      </c>
      <c r="AK9" s="301" t="str">
        <f>AK2</f>
        <v>Semi-Tractor/Trailer</v>
      </c>
      <c r="AL9" s="302" t="str">
        <f>AL2</f>
        <v>Item</v>
      </c>
      <c r="AM9" s="274"/>
      <c r="AN9" s="614" t="s">
        <v>63</v>
      </c>
      <c r="AO9" s="615" t="s">
        <v>1</v>
      </c>
      <c r="AP9" s="289"/>
      <c r="AQ9" s="299" t="s">
        <v>228</v>
      </c>
      <c r="AR9" s="300" t="s">
        <v>1</v>
      </c>
      <c r="AS9" s="50"/>
      <c r="AT9" s="299" t="s">
        <v>233</v>
      </c>
      <c r="AU9" s="300" t="s">
        <v>1</v>
      </c>
      <c r="AW9" s="246" t="s">
        <v>236</v>
      </c>
      <c r="AX9" s="251" t="s">
        <v>1</v>
      </c>
      <c r="AY9" s="289"/>
      <c r="AZ9" s="14" t="s">
        <v>277</v>
      </c>
      <c r="BA9" s="251" t="s">
        <v>1</v>
      </c>
      <c r="BB9" s="289"/>
      <c r="BC9" s="14" t="s">
        <v>277</v>
      </c>
      <c r="BD9" s="251" t="s">
        <v>1</v>
      </c>
      <c r="BE9" s="289"/>
      <c r="BF9" s="289"/>
      <c r="BG9" s="289"/>
    </row>
    <row r="10" spans="1:73" ht="15.75" customHeight="1" x14ac:dyDescent="0.25">
      <c r="A10" s="2">
        <v>7</v>
      </c>
      <c r="B10" s="63" t="str">
        <f>Y2</f>
        <v>Rake</v>
      </c>
      <c r="C10" s="603">
        <f>$Z$13</f>
        <v>0.86561994354432814</v>
      </c>
      <c r="D10" s="603">
        <f>$Z$16</f>
        <v>1.2913269692974976</v>
      </c>
      <c r="E10" s="603">
        <f>$Z$20</f>
        <v>2.1829155111481557</v>
      </c>
      <c r="F10" s="4"/>
      <c r="G10" s="303" t="s">
        <v>38</v>
      </c>
      <c r="H10" s="304">
        <f>fuel_gal*H3</f>
        <v>23.156403000000001</v>
      </c>
      <c r="J10" s="575" t="s">
        <v>38</v>
      </c>
      <c r="K10" s="576">
        <f>fuel_gal*K3</f>
        <v>16.155629999999999</v>
      </c>
      <c r="L10" s="63"/>
      <c r="M10" s="303" t="s">
        <v>38</v>
      </c>
      <c r="N10" s="304">
        <f>fuel_gal*N3</f>
        <v>0</v>
      </c>
      <c r="P10" s="303" t="s">
        <v>38</v>
      </c>
      <c r="Q10" s="304">
        <f>fuel_gal*Q3</f>
        <v>21.540839999999999</v>
      </c>
      <c r="S10" s="303" t="s">
        <v>38</v>
      </c>
      <c r="T10" s="304">
        <f>fuel_gal*T3</f>
        <v>0</v>
      </c>
      <c r="V10" s="593" t="s">
        <v>38</v>
      </c>
      <c r="W10" s="594">
        <f>fuel_gal*W3</f>
        <v>0</v>
      </c>
      <c r="Y10" s="593" t="s">
        <v>38</v>
      </c>
      <c r="Z10" s="594">
        <f>fuel_gal*Z3</f>
        <v>0</v>
      </c>
      <c r="AB10" s="593" t="s">
        <v>38</v>
      </c>
      <c r="AC10" s="594">
        <f>fuel_gal*AC3</f>
        <v>0</v>
      </c>
      <c r="AE10" s="593" t="s">
        <v>38</v>
      </c>
      <c r="AF10" s="594">
        <f>fuel_gal*AF3</f>
        <v>0</v>
      </c>
      <c r="AH10" s="593" t="s">
        <v>38</v>
      </c>
      <c r="AI10" s="594">
        <f>fuel_gal*AI3</f>
        <v>4.9180000000000001</v>
      </c>
      <c r="AK10" s="303" t="s">
        <v>38</v>
      </c>
      <c r="AL10" s="304">
        <f>(fuel_gal+TN_Motor_Fuel_Tax)*AL3</f>
        <v>60.362750999999989</v>
      </c>
      <c r="AM10" s="274"/>
      <c r="AN10" s="612" t="s">
        <v>38</v>
      </c>
      <c r="AO10" s="620" t="s">
        <v>8</v>
      </c>
      <c r="AP10" s="289"/>
      <c r="AQ10" s="303" t="s">
        <v>38</v>
      </c>
      <c r="AR10" s="304">
        <f>fuel_gal*AR3</f>
        <v>48.466890000000006</v>
      </c>
      <c r="AS10" s="50"/>
      <c r="AT10" s="303" t="s">
        <v>38</v>
      </c>
      <c r="AU10" s="304">
        <f>fuel_gal*AU3</f>
        <v>0</v>
      </c>
      <c r="AV10" s="50"/>
      <c r="AW10" s="303" t="s">
        <v>38</v>
      </c>
      <c r="AX10" s="304">
        <f>fuel_gal*AX3</f>
        <v>0</v>
      </c>
      <c r="AY10" s="289"/>
      <c r="AZ10" s="303" t="s">
        <v>38</v>
      </c>
      <c r="BA10" s="304">
        <f>fuel_gal*BA3</f>
        <v>0</v>
      </c>
      <c r="BB10" s="289"/>
      <c r="BC10" s="303" t="s">
        <v>38</v>
      </c>
      <c r="BD10" s="304">
        <f>fuel_gal*BD3</f>
        <v>0</v>
      </c>
      <c r="BE10" s="305"/>
      <c r="BF10" s="305"/>
      <c r="BG10" s="305"/>
      <c r="BH10" s="4"/>
      <c r="BI10" s="4"/>
      <c r="BJ10" s="4"/>
      <c r="BK10" s="4"/>
      <c r="BL10" s="4"/>
      <c r="BM10" s="4"/>
      <c r="BN10" s="4"/>
      <c r="BO10" s="4"/>
      <c r="BP10" s="4"/>
      <c r="BQ10" s="4"/>
      <c r="BR10" s="4"/>
      <c r="BS10" s="4"/>
      <c r="BT10" s="4"/>
      <c r="BU10" s="4"/>
    </row>
    <row r="11" spans="1:73" ht="14.25" customHeight="1" x14ac:dyDescent="0.25">
      <c r="A11" s="2">
        <v>8</v>
      </c>
      <c r="B11" s="63" t="str">
        <f>AB2</f>
        <v>3' x 4 'x 8' Large Rectangular Baler</v>
      </c>
      <c r="C11" s="603">
        <f>$AC$13</f>
        <v>24.847212341072563</v>
      </c>
      <c r="D11" s="603">
        <f>$AC$16</f>
        <v>34.90589422258212</v>
      </c>
      <c r="E11" s="603">
        <f>$AC$20</f>
        <v>60.498522933886861</v>
      </c>
      <c r="F11" s="4"/>
      <c r="G11" s="303" t="s">
        <v>39</v>
      </c>
      <c r="H11" s="304">
        <f>Lub_Factor*H10</f>
        <v>3.4734604500000001</v>
      </c>
      <c r="J11" s="575" t="s">
        <v>39</v>
      </c>
      <c r="K11" s="576">
        <f>Lub_Factor*K10</f>
        <v>2.4233444999999998</v>
      </c>
      <c r="L11" s="63"/>
      <c r="M11" s="303" t="s">
        <v>39</v>
      </c>
      <c r="N11" s="304">
        <f>Lub_Factor*N10</f>
        <v>0</v>
      </c>
      <c r="P11" s="303" t="s">
        <v>39</v>
      </c>
      <c r="Q11" s="304">
        <f>Lub_Factor*Q10</f>
        <v>3.2311259999999997</v>
      </c>
      <c r="S11" s="303" t="s">
        <v>39</v>
      </c>
      <c r="T11" s="304">
        <f>Lub_Factor*T10</f>
        <v>0</v>
      </c>
      <c r="V11" s="593" t="s">
        <v>39</v>
      </c>
      <c r="W11" s="594">
        <f>Lub_Factor*W10</f>
        <v>0</v>
      </c>
      <c r="Y11" s="593" t="s">
        <v>39</v>
      </c>
      <c r="Z11" s="594">
        <f>Lub_Factor*Z10</f>
        <v>0</v>
      </c>
      <c r="AB11" s="593" t="s">
        <v>39</v>
      </c>
      <c r="AC11" s="594">
        <f>Lub_Factor*AC10</f>
        <v>0</v>
      </c>
      <c r="AE11" s="593" t="s">
        <v>39</v>
      </c>
      <c r="AF11" s="594">
        <f>Lub_Factor*AF10</f>
        <v>0</v>
      </c>
      <c r="AH11" s="593" t="s">
        <v>39</v>
      </c>
      <c r="AI11" s="594">
        <f>Lub_Factor*AI10</f>
        <v>0.73770000000000002</v>
      </c>
      <c r="AK11" s="303" t="s">
        <v>39</v>
      </c>
      <c r="AL11" s="304">
        <f>Lub_Factor*AL10</f>
        <v>9.054412649999998</v>
      </c>
      <c r="AM11" s="274"/>
      <c r="AN11" s="612" t="s">
        <v>39</v>
      </c>
      <c r="AO11" s="620" t="s">
        <v>8</v>
      </c>
      <c r="AP11" s="274"/>
      <c r="AQ11" s="303" t="s">
        <v>39</v>
      </c>
      <c r="AR11" s="304">
        <f>Lub_Factor*AR10</f>
        <v>7.2700335000000003</v>
      </c>
      <c r="AS11" s="50"/>
      <c r="AT11" s="303" t="s">
        <v>39</v>
      </c>
      <c r="AU11" s="304">
        <f>15%*AU10</f>
        <v>0</v>
      </c>
      <c r="AV11" s="50"/>
      <c r="AW11" s="303" t="s">
        <v>39</v>
      </c>
      <c r="AX11" s="304">
        <f>15%*AX10</f>
        <v>0</v>
      </c>
      <c r="AY11" s="274"/>
      <c r="AZ11" s="303" t="s">
        <v>39</v>
      </c>
      <c r="BA11" s="304">
        <f>15%*BA10</f>
        <v>0</v>
      </c>
      <c r="BB11" s="274"/>
      <c r="BC11" s="303" t="s">
        <v>39</v>
      </c>
      <c r="BD11" s="304">
        <f>15%*BD10</f>
        <v>0</v>
      </c>
      <c r="BE11" s="306"/>
      <c r="BF11" s="306"/>
      <c r="BG11" s="306"/>
      <c r="BH11" s="4"/>
      <c r="BI11" s="4"/>
      <c r="BJ11" s="4"/>
      <c r="BK11" s="4"/>
      <c r="BL11" s="4"/>
      <c r="BM11" s="4"/>
      <c r="BN11" s="4"/>
      <c r="BO11" s="4"/>
      <c r="BP11" s="4"/>
      <c r="BQ11" s="4"/>
      <c r="BR11" s="4"/>
      <c r="BS11" s="4"/>
      <c r="BT11" s="4"/>
      <c r="BU11" s="4"/>
    </row>
    <row r="12" spans="1:73" ht="16.5" customHeight="1" x14ac:dyDescent="0.25">
      <c r="A12" s="2">
        <v>9</v>
      </c>
      <c r="B12" s="63" t="str">
        <f>AE2</f>
        <v>Front End Loader</v>
      </c>
      <c r="C12" s="603">
        <f>$AF$13</f>
        <v>4.0588235294117645</v>
      </c>
      <c r="D12" s="603">
        <f>$AF$16</f>
        <v>5.2357470526618286</v>
      </c>
      <c r="E12" s="603">
        <f>$AF$20</f>
        <v>9.4163352879559454</v>
      </c>
      <c r="F12" s="4"/>
      <c r="G12" s="307" t="s">
        <v>40</v>
      </c>
      <c r="H12" s="123">
        <f>(RF1_Machine1*H4*(HUL_Machine1/RMF_Machine1)^RF2_Machine1)/HUL_Machine1</f>
        <v>14.117647058823531</v>
      </c>
      <c r="J12" s="577" t="s">
        <v>40</v>
      </c>
      <c r="K12" s="578">
        <f>(RF1_Machine2*K4*(HUL_Machine2/RMF_Machine2)^RF2_Machine2)/HUL_Machine2</f>
        <v>14.823529411764708</v>
      </c>
      <c r="L12" s="63"/>
      <c r="M12" s="307" t="s">
        <v>40</v>
      </c>
      <c r="N12" s="123">
        <f>(RF1_Machine3*N4*(HUL_Machine3/RMF_Machine3)^RF2_Machine3)/HUL_Machine3</f>
        <v>44.10549503967858</v>
      </c>
      <c r="P12" s="308" t="s">
        <v>40</v>
      </c>
      <c r="Q12" s="123">
        <f>(RF1_Machine4*Q4*(HUL_Machine4/RMF_Machine4)^RF2_Machine4)/HUL_Machine4</f>
        <v>136.18595398156199</v>
      </c>
      <c r="R12" s="2">
        <f>0.7*Q4/HUL_Machine4</f>
        <v>137.25490196078431</v>
      </c>
      <c r="S12" s="309" t="s">
        <v>40</v>
      </c>
      <c r="T12" s="123">
        <f>(RF1_Machine5*T4*(HUL_Machine5/RMF_Machine5)^RF2_Machine5)/HUL_Machine5</f>
        <v>41.411764705882355</v>
      </c>
      <c r="V12" s="595" t="s">
        <v>40</v>
      </c>
      <c r="W12" s="596">
        <f>(RF1_Machine6*W4*(HUL_Machine6/RMF_Machine6)^RF2_Machine6)/HUL_Machine6</f>
        <v>5.7144345061297512</v>
      </c>
      <c r="Y12" s="599" t="s">
        <v>40</v>
      </c>
      <c r="Z12" s="596">
        <f>(RF1_Machine7*Z4*(HUL_Machine7/RMF_Machine7)^RF2_Machine7)/HUL_Machine7</f>
        <v>0.86561994354432814</v>
      </c>
      <c r="AB12" s="599" t="s">
        <v>40</v>
      </c>
      <c r="AC12" s="596">
        <f>(RF1_Machine8*AC4*(HUL_Machine8/RMF_Machine8)^RF2_Machine8)/HUL_Machine8</f>
        <v>24.847212341072563</v>
      </c>
      <c r="AE12" s="599" t="s">
        <v>40</v>
      </c>
      <c r="AF12" s="596">
        <f>(RF1_Machine9*AF4*(HUL_Machine9/RMF_Machine9)^RF2_Machine9)/HUL_Machine9</f>
        <v>4.0588235294117645</v>
      </c>
      <c r="AH12" s="599" t="s">
        <v>40</v>
      </c>
      <c r="AI12" s="596">
        <f>(RMF_Machine10/100)*(AI4/HUL_Machine10)</f>
        <v>2.4509803921568629</v>
      </c>
      <c r="AK12" s="307" t="s">
        <v>40</v>
      </c>
      <c r="AL12" s="123">
        <f>(RF1_Machine11*AL4*(HUL_Machine11/RMF_Machine11)^RF2_Machine11)/HUL_Machine11</f>
        <v>22.820743998533992</v>
      </c>
      <c r="AM12" s="274"/>
      <c r="AN12" s="616" t="s">
        <v>40</v>
      </c>
      <c r="AO12" s="620" t="s">
        <v>8</v>
      </c>
      <c r="AP12" s="274"/>
      <c r="AQ12" s="309" t="s">
        <v>40</v>
      </c>
      <c r="AR12" s="123">
        <f>(RF1_Machine13*AR4*(HUL_Machine13/RMF_Machine13)^RF2_Machine13)/HUL_Machine13</f>
        <v>47.271099135553619</v>
      </c>
      <c r="AS12" s="50"/>
      <c r="AT12" s="309" t="s">
        <v>40</v>
      </c>
      <c r="AU12" s="123">
        <f>(RF1_Machine14*AU4*(HUL_Machine14/RMF_Machine14)^RF2_Machine14)/HUL_Machine14</f>
        <v>2.5728205439812499</v>
      </c>
      <c r="AV12" s="50"/>
      <c r="AW12" s="309" t="s">
        <v>40</v>
      </c>
      <c r="AX12" s="123">
        <f>(RF1_Machine15*AX4*(HUL_Machine15/RMF_Machine15)^RF2_Machine15)/HUL_Machine15</f>
        <v>10.877750567765645</v>
      </c>
      <c r="AY12" s="274"/>
      <c r="AZ12" s="309" t="s">
        <v>40</v>
      </c>
      <c r="BA12" s="123">
        <f>(RF1_Machine16*BA4*(HUL_Machine16/RMF_Machine16)^RF2_Machine16)/HUL_Machine16</f>
        <v>15.656907767452534</v>
      </c>
      <c r="BB12" s="274"/>
      <c r="BC12" s="309" t="s">
        <v>40</v>
      </c>
      <c r="BD12" s="123">
        <f>(RF1_Machine15*BD4*(HUL_Machine15/RMF_Machine15)^RF2_Machine15)/HUL_Machine15</f>
        <v>23.309465502354954</v>
      </c>
      <c r="BE12" s="306"/>
      <c r="BF12" s="306"/>
      <c r="BG12" s="306"/>
      <c r="BH12" s="4"/>
      <c r="BI12" s="4"/>
      <c r="BJ12" s="4"/>
      <c r="BK12" s="4"/>
      <c r="BL12" s="4"/>
      <c r="BM12" s="4"/>
      <c r="BN12" s="4"/>
      <c r="BO12" s="4"/>
      <c r="BP12" s="4"/>
      <c r="BQ12" s="4"/>
      <c r="BR12" s="4"/>
      <c r="BS12" s="4"/>
      <c r="BT12" s="4"/>
      <c r="BU12" s="4"/>
    </row>
    <row r="13" spans="1:73" ht="13.5" customHeight="1" thickBot="1" x14ac:dyDescent="0.3">
      <c r="A13" s="2">
        <v>10</v>
      </c>
      <c r="B13" s="63" t="str">
        <f>AH2</f>
        <v>Pickup Truck</v>
      </c>
      <c r="C13" s="603">
        <f>$AI$13</f>
        <v>8.1066803921568642</v>
      </c>
      <c r="D13" s="603">
        <f>$AI$16</f>
        <v>6.6300453266441011</v>
      </c>
      <c r="E13" s="603">
        <f>$AI$20</f>
        <v>14.979926130565671</v>
      </c>
      <c r="F13" s="4"/>
      <c r="G13" s="311" t="s">
        <v>41</v>
      </c>
      <c r="H13" s="312">
        <f>SUM(H10:H12)</f>
        <v>40.747510508823531</v>
      </c>
      <c r="J13" s="579" t="s">
        <v>41</v>
      </c>
      <c r="K13" s="580">
        <f>SUM(K10:K12)</f>
        <v>33.402503911764704</v>
      </c>
      <c r="L13" s="63"/>
      <c r="M13" s="311" t="s">
        <v>41</v>
      </c>
      <c r="N13" s="312">
        <f>SUM(N10:N12)</f>
        <v>44.10549503967858</v>
      </c>
      <c r="P13" s="311" t="s">
        <v>41</v>
      </c>
      <c r="Q13" s="312">
        <f>SUM(Q10:Q12)</f>
        <v>160.95791998156199</v>
      </c>
      <c r="S13" s="311" t="s">
        <v>41</v>
      </c>
      <c r="T13" s="312">
        <f>SUM(T10:T12)</f>
        <v>41.411764705882355</v>
      </c>
      <c r="V13" s="597" t="s">
        <v>41</v>
      </c>
      <c r="W13" s="598">
        <f>SUM(W10:W12)</f>
        <v>5.7144345061297512</v>
      </c>
      <c r="Y13" s="597" t="s">
        <v>41</v>
      </c>
      <c r="Z13" s="598">
        <f>SUM(Z10:Z12)</f>
        <v>0.86561994354432814</v>
      </c>
      <c r="AB13" s="597" t="s">
        <v>41</v>
      </c>
      <c r="AC13" s="598">
        <f>SUM(AC10:AC12)</f>
        <v>24.847212341072563</v>
      </c>
      <c r="AE13" s="597" t="s">
        <v>41</v>
      </c>
      <c r="AF13" s="598">
        <f>SUM(AF10:AF12)</f>
        <v>4.0588235294117645</v>
      </c>
      <c r="AH13" s="597" t="s">
        <v>41</v>
      </c>
      <c r="AI13" s="598">
        <f>SUM(AI10:AI12)</f>
        <v>8.1066803921568642</v>
      </c>
      <c r="AK13" s="311" t="s">
        <v>41</v>
      </c>
      <c r="AL13" s="312">
        <f>SUM(AL10:AL12)</f>
        <v>92.237907648533991</v>
      </c>
      <c r="AM13" s="274"/>
      <c r="AN13" s="617" t="s">
        <v>41</v>
      </c>
      <c r="AO13" s="621" t="s">
        <v>8</v>
      </c>
      <c r="AP13" s="274"/>
      <c r="AQ13" s="311" t="s">
        <v>41</v>
      </c>
      <c r="AR13" s="312">
        <f>SUM(AR10:AR12)</f>
        <v>103.00802263555363</v>
      </c>
      <c r="AS13" s="50"/>
      <c r="AT13" s="311" t="s">
        <v>41</v>
      </c>
      <c r="AU13" s="312">
        <f>SUM(AU10:AU12)</f>
        <v>2.5728205439812499</v>
      </c>
      <c r="AV13" s="50"/>
      <c r="AW13" s="311" t="s">
        <v>41</v>
      </c>
      <c r="AX13" s="312">
        <f>SUM(AX10:AX12)</f>
        <v>10.877750567765645</v>
      </c>
      <c r="AY13" s="274"/>
      <c r="AZ13" s="311" t="s">
        <v>41</v>
      </c>
      <c r="BA13" s="312">
        <f>SUM(BA10:BA12)</f>
        <v>15.656907767452534</v>
      </c>
      <c r="BB13" s="274"/>
      <c r="BC13" s="311" t="s">
        <v>41</v>
      </c>
      <c r="BD13" s="312">
        <f>SUM(BD10:BD12)</f>
        <v>23.309465502354954</v>
      </c>
      <c r="BE13" s="306"/>
      <c r="BF13" s="306"/>
      <c r="BG13" s="306"/>
      <c r="BH13" s="4"/>
      <c r="BI13" s="4"/>
      <c r="BJ13" s="4"/>
      <c r="BK13" s="4"/>
      <c r="BL13" s="4"/>
      <c r="BM13" s="4"/>
      <c r="BN13" s="4"/>
      <c r="BO13" s="4"/>
      <c r="BP13" s="4"/>
      <c r="BQ13" s="4"/>
      <c r="BR13" s="4"/>
      <c r="BS13" s="4"/>
      <c r="BT13" s="4"/>
      <c r="BU13" s="4"/>
    </row>
    <row r="14" spans="1:73" ht="16.5" customHeight="1" thickTop="1" x14ac:dyDescent="0.25">
      <c r="A14" s="4">
        <v>11</v>
      </c>
      <c r="B14" s="246" t="str">
        <f>AK2</f>
        <v>Semi-Tractor/Trailer</v>
      </c>
      <c r="C14" s="313">
        <f>$AL$13</f>
        <v>92.237907648533991</v>
      </c>
      <c r="D14" s="313">
        <f>$AL$16</f>
        <v>11.848088096883099</v>
      </c>
      <c r="E14" s="313">
        <f>$AL$20</f>
        <v>106.85313297487312</v>
      </c>
      <c r="F14" s="4"/>
      <c r="G14" s="303" t="s">
        <v>11</v>
      </c>
      <c r="H14" s="304">
        <f>(PP_Machine1-H7/(1+real_interest)^H5)/((1-1/(1+real_interest)^H5)/real_interest)/HUY_Machine1</f>
        <v>19.176748029996521</v>
      </c>
      <c r="I14" s="238"/>
      <c r="J14" s="575" t="s">
        <v>11</v>
      </c>
      <c r="K14" s="576">
        <f>(PP_Machine2-K7/(1+real_interest)^K5)/((1-1/(1+real_interest)^K5)/real_interest)/HUY_Machine2</f>
        <v>18.03652963322552</v>
      </c>
      <c r="L14" s="63"/>
      <c r="M14" s="303" t="s">
        <v>11</v>
      </c>
      <c r="N14" s="304">
        <f>(PP_Machine3-N7/(1+real_interest)^N5)/((1-1/(1+real_interest)^N5)/real_interest)/HUY_Machine3</f>
        <v>36.096423846541235</v>
      </c>
      <c r="P14" s="303" t="s">
        <v>11</v>
      </c>
      <c r="Q14" s="304">
        <f>(PP_Machine4-Q7/(1+real_interest)^Q5)/((1-1/(1+real_interest)^Q5)/real_interest)/HUY_Machine4</f>
        <v>277.11557691304995</v>
      </c>
      <c r="S14" s="303" t="s">
        <v>11</v>
      </c>
      <c r="T14" s="304">
        <f>(PP_Machine5-T7/(1+real_interest)^T5)/((1-1/(1+real_interest)^T5)/real_interest)/HUY_Machine5</f>
        <v>23.39937781914842</v>
      </c>
      <c r="V14" s="593" t="s">
        <v>11</v>
      </c>
      <c r="W14" s="594">
        <f>(PP_Machine6-W7/(1+real_interest)^W5)/((1-1/(1+real_interest)^W5)/real_interest)/HUY_Machine6</f>
        <v>2.7295877703725546</v>
      </c>
      <c r="X14" s="238"/>
      <c r="Y14" s="593" t="s">
        <v>11</v>
      </c>
      <c r="Z14" s="594">
        <f>(PP_Machine7-Z7/(1+real_interest)^Z5)/((1-1/(1+real_interest)^Z5)/real_interest)/HUY_Machine7</f>
        <v>1.1067115846821129</v>
      </c>
      <c r="AA14" s="238"/>
      <c r="AB14" s="593" t="s">
        <v>11</v>
      </c>
      <c r="AC14" s="594">
        <f>(PP_Machine8-AC7/(1+real_interest)^AC5)/((1-1/(1+real_interest)^AC5)/real_interest)/HUY_Machine8</f>
        <v>29.508971145659043</v>
      </c>
      <c r="AD14" s="238"/>
      <c r="AE14" s="593" t="s">
        <v>11</v>
      </c>
      <c r="AF14" s="594">
        <f>(PP_Machine9-AF7/(1+real_interest)^AF5)/((1-1/(1+real_interest)^AF5)/real_interest)/HUY_Machine9</f>
        <v>4.8828058761912407</v>
      </c>
      <c r="AG14" s="238"/>
      <c r="AH14" s="593" t="s">
        <v>11</v>
      </c>
      <c r="AI14" s="594">
        <f>(PP_Machine10-AI7/(1+real_interest)^AI5)/((1-1/(1+real_interest)^AI5)/real_interest)/HUY_Machine10</f>
        <v>4.9633786599774341</v>
      </c>
      <c r="AK14" s="303" t="s">
        <v>11</v>
      </c>
      <c r="AL14" s="304">
        <f>(PP_Machine11-AL7/(1+real_interest)^AL5)/((1-1/(1+real_interest)^AL5)/real_interest)/HUY_Machine11</f>
        <v>9.3289150580838935</v>
      </c>
      <c r="AM14" s="274"/>
      <c r="AN14" s="612" t="s">
        <v>11</v>
      </c>
      <c r="AO14" s="620" t="s">
        <v>8</v>
      </c>
      <c r="AP14" s="314"/>
      <c r="AQ14" s="303" t="s">
        <v>11</v>
      </c>
      <c r="AR14" s="304">
        <f>(PP_Machine13-AR7/(1+real_interest)^AR5)/((1-1/(1+real_interest)^AR5)/real_interest)/HUY_Machine13</f>
        <v>91.168928361969421</v>
      </c>
      <c r="AS14" s="50"/>
      <c r="AT14" s="303" t="s">
        <v>11</v>
      </c>
      <c r="AU14" s="304">
        <f>(PP_Machine14-AU7/(1+real_interest)^AU5)/((1-1/(1+real_interest)^AU5)/real_interest)/HUY_Machine14</f>
        <v>21.620671331593755</v>
      </c>
      <c r="AV14" s="50"/>
      <c r="AW14" s="303" t="s">
        <v>11</v>
      </c>
      <c r="AX14" s="304">
        <f>(PP_Machine15-AX7/(1+real_interest)^AX5)/((1-1/(1+real_interest)^AX5)/real_interest)/HUY_Machine15</f>
        <v>8.9556380396544704</v>
      </c>
      <c r="AY14" s="314"/>
      <c r="AZ14" s="303" t="s">
        <v>11</v>
      </c>
      <c r="BA14" s="304">
        <f>(PP_Machine16-BA7/(1+real_interest)^BA5)/((1-1/(1+real_interest)^BA5)/real_interest)/HUY_Machine16</f>
        <v>15.35760643446573</v>
      </c>
      <c r="BB14" s="314"/>
      <c r="BC14" s="303" t="s">
        <v>11</v>
      </c>
      <c r="BD14" s="304">
        <f>(PP_Machine15-BD7/(1+real_interest)^BD5)/((1-1/(1+real_interest)^BD5)/real_interest)/HUY_Machine15</f>
        <v>5.6508400497043763</v>
      </c>
      <c r="BE14" s="315"/>
      <c r="BF14" s="315"/>
      <c r="BG14" s="315"/>
      <c r="BH14" s="4"/>
      <c r="BI14" s="4"/>
      <c r="BJ14" s="4"/>
      <c r="BK14" s="4"/>
      <c r="BL14" s="4"/>
      <c r="BM14" s="4"/>
      <c r="BN14" s="4"/>
      <c r="BO14" s="4"/>
      <c r="BP14" s="4"/>
      <c r="BQ14" s="4"/>
      <c r="BR14" s="4"/>
      <c r="BS14" s="4"/>
      <c r="BT14" s="4"/>
      <c r="BU14" s="4"/>
    </row>
    <row r="15" spans="1:73" ht="12.75" customHeight="1" x14ac:dyDescent="0.25">
      <c r="A15" s="4">
        <v>12</v>
      </c>
      <c r="B15" s="261" t="str">
        <f>AN2</f>
        <v>Box Scrapper</v>
      </c>
      <c r="C15" s="572">
        <v>0</v>
      </c>
      <c r="D15" s="623">
        <v>0</v>
      </c>
      <c r="E15" s="572">
        <v>0</v>
      </c>
      <c r="F15" s="4"/>
      <c r="G15" s="309" t="s">
        <v>12</v>
      </c>
      <c r="H15" s="123">
        <f>(housing+tax_rate+insurance)*PP_Machine1/HUY_Machine1</f>
        <v>4.166666666666667</v>
      </c>
      <c r="J15" s="577" t="s">
        <v>12</v>
      </c>
      <c r="K15" s="578">
        <f>(housing+tax_rate+insurance)*PP_Machine2/HUY_Machine2</f>
        <v>4.5045045045045047</v>
      </c>
      <c r="L15" s="63"/>
      <c r="M15" s="309" t="s">
        <v>12</v>
      </c>
      <c r="N15" s="123">
        <f>(housing+tax_rate+insurance)*PP_Machine3/HUY_Machine3</f>
        <v>6.3559322033898304</v>
      </c>
      <c r="P15" s="309" t="s">
        <v>12</v>
      </c>
      <c r="Q15" s="123">
        <f>(housing+tax_rate+insurance)*PP_Machine4/HUY_Machine4</f>
        <v>78.125</v>
      </c>
      <c r="S15" s="309" t="s">
        <v>12</v>
      </c>
      <c r="T15" s="123">
        <f>(housing+tax_rate+insurance)*PP_Machine5/HUY_Machine5</f>
        <v>5.0955414012738851</v>
      </c>
      <c r="V15" s="599" t="s">
        <v>12</v>
      </c>
      <c r="W15" s="596">
        <f>(housing+tax_rate+insurance)*PP_Machine6/HUY_Machine6</f>
        <v>0.4</v>
      </c>
      <c r="Y15" s="599" t="s">
        <v>12</v>
      </c>
      <c r="Z15" s="596">
        <f>(housing+tax_rate+insurance)*PP_Machine7/HUY_Machine7</f>
        <v>0.18461538461538463</v>
      </c>
      <c r="AB15" s="599" t="s">
        <v>12</v>
      </c>
      <c r="AC15" s="596">
        <f>(housing+tax_rate+insurance)*PP_Machine8/HUY_Machine8</f>
        <v>5.3969230769230769</v>
      </c>
      <c r="AE15" s="599" t="s">
        <v>12</v>
      </c>
      <c r="AF15" s="596">
        <f>(housing+tax_rate+insurance)*PP_Machine9/HUY_Machine9</f>
        <v>0.35294117647058826</v>
      </c>
      <c r="AH15" s="599" t="s">
        <v>12</v>
      </c>
      <c r="AI15" s="596">
        <f>(housing+tax_rate+insurance)*PP_Machine10/HUY_Machine10</f>
        <v>1.6666666666666667</v>
      </c>
      <c r="AK15" s="309" t="s">
        <v>12</v>
      </c>
      <c r="AL15" s="123">
        <f>(housing+tax_rate+insurance)*PP_Machine11/HUY_Machine11</f>
        <v>2.5191730387992064</v>
      </c>
      <c r="AM15" s="274"/>
      <c r="AN15" s="612" t="s">
        <v>12</v>
      </c>
      <c r="AO15" s="620" t="s">
        <v>8</v>
      </c>
      <c r="AP15" s="274"/>
      <c r="AQ15" s="309" t="s">
        <v>12</v>
      </c>
      <c r="AR15" s="123">
        <f>(housing+tax_rate+insurance)*PP_Machine13/HUY_Machine13</f>
        <v>13.100436681222707</v>
      </c>
      <c r="AS15" s="50"/>
      <c r="AT15" s="309" t="s">
        <v>12</v>
      </c>
      <c r="AU15" s="123">
        <f>(housing+tax_rate+insurance)*PP_Machine14/HUY_Machine14</f>
        <v>3.5714285714285716</v>
      </c>
      <c r="AV15" s="50"/>
      <c r="AW15" s="309" t="s">
        <v>12</v>
      </c>
      <c r="AX15" s="123">
        <f>(housing+tax_rate+insurance)*PP_Machine15/HUY_Machine15</f>
        <v>1.5283842794759825</v>
      </c>
      <c r="AY15" s="274"/>
      <c r="AZ15" s="309" t="s">
        <v>12</v>
      </c>
      <c r="BA15" s="123">
        <f>(housing+tax_rate+insurance)*PP_Machine16/HUY_Machine16</f>
        <v>2.9629629629629628</v>
      </c>
      <c r="BB15" s="274"/>
      <c r="BC15" s="309" t="s">
        <v>12</v>
      </c>
      <c r="BD15" s="123">
        <f>(housing+tax_rate+insurance)*PP_Machine15/HUY_Machine15</f>
        <v>1.5283842794759825</v>
      </c>
      <c r="BE15" s="306"/>
      <c r="BF15" s="306"/>
      <c r="BG15" s="316"/>
      <c r="BH15" s="4"/>
      <c r="BI15" s="4"/>
      <c r="BJ15" s="4"/>
      <c r="BK15" s="4"/>
      <c r="BL15" s="4"/>
      <c r="BM15" s="4"/>
      <c r="BN15" s="4"/>
      <c r="BO15" s="4"/>
      <c r="BP15" s="4"/>
      <c r="BQ15" s="4"/>
      <c r="BR15" s="4"/>
      <c r="BS15" s="4"/>
      <c r="BT15" s="4"/>
      <c r="BU15" s="4"/>
    </row>
    <row r="16" spans="1:73" ht="15.75" customHeight="1" thickBot="1" x14ac:dyDescent="0.3">
      <c r="A16" s="2">
        <v>13</v>
      </c>
      <c r="B16" s="147" t="s">
        <v>225</v>
      </c>
      <c r="C16" s="317">
        <f>AR13</f>
        <v>103.00802263555363</v>
      </c>
      <c r="D16" s="280">
        <f>AR16</f>
        <v>104.26936504319212</v>
      </c>
      <c r="E16" s="318">
        <f>AR20</f>
        <v>210.36762835781235</v>
      </c>
      <c r="G16" s="319" t="s">
        <v>42</v>
      </c>
      <c r="H16" s="312">
        <f>SUM(H14:H15)</f>
        <v>23.343414696663189</v>
      </c>
      <c r="J16" s="581" t="s">
        <v>42</v>
      </c>
      <c r="K16" s="580">
        <f>SUM(K14:K15)</f>
        <v>22.541034137730023</v>
      </c>
      <c r="L16" s="63"/>
      <c r="M16" s="319" t="s">
        <v>42</v>
      </c>
      <c r="N16" s="312">
        <f>SUM(N14:N15)</f>
        <v>42.452356049931069</v>
      </c>
      <c r="P16" s="319" t="s">
        <v>42</v>
      </c>
      <c r="Q16" s="312">
        <f>SUM(Q14:Q15)</f>
        <v>355.24057691304995</v>
      </c>
      <c r="S16" s="319" t="s">
        <v>42</v>
      </c>
      <c r="T16" s="312">
        <f>SUM(T14:T15)</f>
        <v>28.494919220422304</v>
      </c>
      <c r="V16" s="600" t="s">
        <v>42</v>
      </c>
      <c r="W16" s="598">
        <f>SUM(W14:W15)</f>
        <v>3.1295877703725545</v>
      </c>
      <c r="Y16" s="600" t="s">
        <v>42</v>
      </c>
      <c r="Z16" s="598">
        <f>SUM(Z14:Z15)</f>
        <v>1.2913269692974976</v>
      </c>
      <c r="AB16" s="600" t="s">
        <v>42</v>
      </c>
      <c r="AC16" s="598">
        <f>SUM(AC14:AC15)</f>
        <v>34.90589422258212</v>
      </c>
      <c r="AE16" s="600" t="s">
        <v>42</v>
      </c>
      <c r="AF16" s="598">
        <f>SUM(AF14:AF15)</f>
        <v>5.2357470526618286</v>
      </c>
      <c r="AH16" s="600" t="s">
        <v>42</v>
      </c>
      <c r="AI16" s="598">
        <f>SUM(AI14:AI15)</f>
        <v>6.6300453266441011</v>
      </c>
      <c r="AK16" s="319" t="s">
        <v>42</v>
      </c>
      <c r="AL16" s="312">
        <f>SUM(AL14:AL15)</f>
        <v>11.848088096883099</v>
      </c>
      <c r="AM16" s="274"/>
      <c r="AN16" s="617" t="s">
        <v>42</v>
      </c>
      <c r="AO16" s="621" t="s">
        <v>8</v>
      </c>
      <c r="AP16" s="274"/>
      <c r="AQ16" s="319" t="s">
        <v>42</v>
      </c>
      <c r="AR16" s="312">
        <f>SUM(AR14:AR15)</f>
        <v>104.26936504319212</v>
      </c>
      <c r="AS16" s="50"/>
      <c r="AT16" s="319" t="s">
        <v>42</v>
      </c>
      <c r="AU16" s="312">
        <f>SUM(AU14:AU15)</f>
        <v>25.192099903022328</v>
      </c>
      <c r="AV16" s="50"/>
      <c r="AW16" s="319" t="s">
        <v>42</v>
      </c>
      <c r="AX16" s="312">
        <f>SUM(AX14:AX15)</f>
        <v>10.484022319130453</v>
      </c>
      <c r="AY16" s="274"/>
      <c r="AZ16" s="319" t="s">
        <v>42</v>
      </c>
      <c r="BA16" s="312">
        <f>SUM(BA14:BA15)</f>
        <v>18.320569397428692</v>
      </c>
      <c r="BB16" s="274"/>
      <c r="BC16" s="319" t="s">
        <v>42</v>
      </c>
      <c r="BD16" s="312">
        <f>SUM(BD14:BD15)</f>
        <v>7.179224329180359</v>
      </c>
      <c r="BE16" s="306"/>
      <c r="BF16" s="306"/>
      <c r="BG16" s="316"/>
      <c r="BH16" s="4"/>
      <c r="BI16" s="4"/>
      <c r="BJ16" s="4"/>
      <c r="BK16" s="4"/>
      <c r="BL16" s="4"/>
      <c r="BM16" s="4"/>
      <c r="BN16" s="4"/>
      <c r="BO16" s="4"/>
      <c r="BP16" s="4"/>
      <c r="BQ16" s="4"/>
      <c r="BR16" s="4"/>
      <c r="BS16" s="4"/>
      <c r="BT16" s="4"/>
      <c r="BU16" s="4"/>
    </row>
    <row r="17" spans="1:73" ht="18" customHeight="1" thickTop="1" thickBot="1" x14ac:dyDescent="0.3">
      <c r="A17" s="2">
        <v>14</v>
      </c>
      <c r="B17" s="14" t="s">
        <v>226</v>
      </c>
      <c r="C17" s="280">
        <f>AU13</f>
        <v>2.5728205439812499</v>
      </c>
      <c r="D17" s="280">
        <f>AU16</f>
        <v>25.192099903022328</v>
      </c>
      <c r="E17" s="318">
        <f>AU20</f>
        <v>27.842105063323018</v>
      </c>
      <c r="G17" s="320" t="s">
        <v>43</v>
      </c>
      <c r="H17" s="321">
        <f>H16+H13</f>
        <v>64.090925205486712</v>
      </c>
      <c r="J17" s="582" t="s">
        <v>43</v>
      </c>
      <c r="K17" s="583">
        <f>K16+K13</f>
        <v>55.943538049494727</v>
      </c>
      <c r="L17" s="63"/>
      <c r="M17" s="320" t="s">
        <v>43</v>
      </c>
      <c r="N17" s="321">
        <f>N16+N13</f>
        <v>86.557851089609642</v>
      </c>
      <c r="P17" s="320" t="s">
        <v>43</v>
      </c>
      <c r="Q17" s="321">
        <f>Q16+Q13</f>
        <v>516.19849689461194</v>
      </c>
      <c r="S17" s="320" t="s">
        <v>43</v>
      </c>
      <c r="T17" s="321">
        <f>T16+T13</f>
        <v>69.906683926304652</v>
      </c>
      <c r="V17" s="601" t="s">
        <v>43</v>
      </c>
      <c r="W17" s="602">
        <f>W16+W13</f>
        <v>8.8440222765023062</v>
      </c>
      <c r="Y17" s="601" t="s">
        <v>43</v>
      </c>
      <c r="Z17" s="602">
        <f>Z16+Z13</f>
        <v>2.1569469128418257</v>
      </c>
      <c r="AB17" s="601" t="s">
        <v>43</v>
      </c>
      <c r="AC17" s="602">
        <f>AC16+AC13</f>
        <v>59.753106563654683</v>
      </c>
      <c r="AE17" s="601" t="s">
        <v>43</v>
      </c>
      <c r="AF17" s="602">
        <f>AF16+AF13</f>
        <v>9.2945705820735931</v>
      </c>
      <c r="AH17" s="601" t="s">
        <v>43</v>
      </c>
      <c r="AI17" s="602">
        <f>AI16+AI13</f>
        <v>14.736725718800965</v>
      </c>
      <c r="AK17" s="320" t="s">
        <v>43</v>
      </c>
      <c r="AL17" s="321">
        <f>AL16+AL13</f>
        <v>104.08599574541709</v>
      </c>
      <c r="AM17" s="274"/>
      <c r="AN17" s="618" t="s">
        <v>43</v>
      </c>
      <c r="AO17" s="622" t="s">
        <v>8</v>
      </c>
      <c r="AP17" s="274"/>
      <c r="AQ17" s="320" t="s">
        <v>43</v>
      </c>
      <c r="AR17" s="321">
        <f>AR16+AR13</f>
        <v>207.27738767874575</v>
      </c>
      <c r="AS17" s="50"/>
      <c r="AT17" s="320" t="s">
        <v>43</v>
      </c>
      <c r="AU17" s="321">
        <f>AU16+AU13</f>
        <v>27.764920447003579</v>
      </c>
      <c r="AV17" s="50"/>
      <c r="AW17" s="320" t="s">
        <v>43</v>
      </c>
      <c r="AX17" s="321">
        <f>AX16+AX13</f>
        <v>21.361772886896098</v>
      </c>
      <c r="AY17" s="274"/>
      <c r="AZ17" s="320" t="s">
        <v>43</v>
      </c>
      <c r="BA17" s="321">
        <f>BA16+BA13</f>
        <v>33.977477164881222</v>
      </c>
      <c r="BB17" s="274"/>
      <c r="BC17" s="320" t="s">
        <v>43</v>
      </c>
      <c r="BD17" s="321">
        <f>BD16+BD13</f>
        <v>30.488689831535311</v>
      </c>
      <c r="BE17" s="306"/>
      <c r="BF17" s="306"/>
      <c r="BG17" s="316"/>
      <c r="BH17" s="4"/>
      <c r="BI17" s="4"/>
      <c r="BJ17" s="4"/>
      <c r="BK17" s="4"/>
      <c r="BL17" s="4"/>
      <c r="BM17" s="4"/>
      <c r="BN17" s="4"/>
      <c r="BO17" s="4"/>
      <c r="BP17" s="4"/>
      <c r="BQ17" s="4"/>
      <c r="BR17" s="4"/>
      <c r="BS17" s="4"/>
      <c r="BT17" s="4"/>
      <c r="BU17" s="4"/>
    </row>
    <row r="18" spans="1:73" ht="16.5" thickTop="1" x14ac:dyDescent="0.25">
      <c r="A18" s="4">
        <v>15</v>
      </c>
      <c r="B18" s="147" t="str">
        <f>AW2</f>
        <v>Grain Cart 750 bu</v>
      </c>
      <c r="C18" s="280">
        <f>AX13</f>
        <v>10.877750567765645</v>
      </c>
      <c r="D18" s="280">
        <f>AX16</f>
        <v>10.484022319130453</v>
      </c>
      <c r="E18" s="318">
        <f>AX20</f>
        <v>21.688105403929068</v>
      </c>
      <c r="G18" s="50" t="s">
        <v>44</v>
      </c>
      <c r="H18" s="322">
        <v>0</v>
      </c>
      <c r="J18" s="584" t="s">
        <v>44</v>
      </c>
      <c r="K18" s="585">
        <v>0</v>
      </c>
      <c r="L18" s="63"/>
      <c r="M18" s="50" t="s">
        <v>44</v>
      </c>
      <c r="N18" s="322">
        <v>0</v>
      </c>
      <c r="P18" s="50" t="s">
        <v>44</v>
      </c>
      <c r="Q18" s="322">
        <v>0</v>
      </c>
      <c r="S18" s="50" t="s">
        <v>44</v>
      </c>
      <c r="T18" s="322">
        <v>0</v>
      </c>
      <c r="V18" s="603" t="s">
        <v>44</v>
      </c>
      <c r="W18" s="604">
        <v>0</v>
      </c>
      <c r="Y18" s="603" t="s">
        <v>44</v>
      </c>
      <c r="Z18" s="604">
        <v>0</v>
      </c>
      <c r="AB18" s="603" t="s">
        <v>44</v>
      </c>
      <c r="AC18" s="604">
        <v>0</v>
      </c>
      <c r="AE18" s="603" t="s">
        <v>44</v>
      </c>
      <c r="AF18" s="604">
        <v>0</v>
      </c>
      <c r="AH18" s="603" t="s">
        <v>44</v>
      </c>
      <c r="AI18" s="604">
        <v>0</v>
      </c>
      <c r="AK18" s="50" t="s">
        <v>44</v>
      </c>
      <c r="AL18" s="322">
        <v>0</v>
      </c>
      <c r="AM18" s="274"/>
      <c r="AN18" s="612" t="s">
        <v>44</v>
      </c>
      <c r="AO18" s="620" t="s">
        <v>8</v>
      </c>
      <c r="AP18" s="289"/>
      <c r="AQ18" s="50" t="s">
        <v>44</v>
      </c>
      <c r="AR18" s="322">
        <v>0</v>
      </c>
      <c r="AS18" s="50"/>
      <c r="AT18" s="50" t="s">
        <v>44</v>
      </c>
      <c r="AU18" s="322">
        <v>0</v>
      </c>
      <c r="AV18" s="50"/>
      <c r="AW18" s="50" t="s">
        <v>44</v>
      </c>
      <c r="AX18" s="322">
        <v>0</v>
      </c>
      <c r="AY18" s="289"/>
      <c r="AZ18" s="50" t="s">
        <v>44</v>
      </c>
      <c r="BA18" s="322">
        <v>0</v>
      </c>
      <c r="BB18" s="289"/>
      <c r="BC18" s="50" t="s">
        <v>44</v>
      </c>
      <c r="BD18" s="322">
        <v>0</v>
      </c>
      <c r="BE18" s="305"/>
      <c r="BF18" s="305"/>
      <c r="BG18" s="305"/>
      <c r="BH18" s="4"/>
      <c r="BI18" s="4"/>
      <c r="BJ18" s="4"/>
      <c r="BK18" s="4"/>
      <c r="BL18" s="4"/>
      <c r="BM18" s="4"/>
      <c r="BN18" s="4"/>
      <c r="BO18" s="4"/>
      <c r="BP18" s="4"/>
      <c r="BQ18" s="4"/>
      <c r="BR18" s="4"/>
      <c r="BS18" s="4"/>
      <c r="BT18" s="4"/>
      <c r="BU18" s="4"/>
    </row>
    <row r="19" spans="1:73" x14ac:dyDescent="0.25">
      <c r="A19" s="2">
        <v>16</v>
      </c>
      <c r="B19" s="14" t="str">
        <f>'Farm Machinery'!B17</f>
        <v>Fertilizer Spreader</v>
      </c>
      <c r="C19" s="280">
        <f>BA13</f>
        <v>15.656907767452534</v>
      </c>
      <c r="D19" s="280">
        <f>BA17</f>
        <v>33.977477164881222</v>
      </c>
      <c r="E19" s="318">
        <f>BA20</f>
        <v>34.447184397904799</v>
      </c>
      <c r="G19" s="123" t="s">
        <v>45</v>
      </c>
      <c r="H19" s="123">
        <f>(H10+H11+H12+H18)*nom_interest/2</f>
        <v>1.222425315264706</v>
      </c>
      <c r="J19" s="578" t="s">
        <v>45</v>
      </c>
      <c r="K19" s="578">
        <f>(K10+K11+K12+K18)*nom_interest/2</f>
        <v>1.0020751173529412</v>
      </c>
      <c r="L19" s="63"/>
      <c r="M19" s="123" t="s">
        <v>45</v>
      </c>
      <c r="N19" s="123">
        <f>(N10+N11+N12+N18)*nom_interest/2</f>
        <v>1.3231648511903573</v>
      </c>
      <c r="P19" s="123" t="s">
        <v>45</v>
      </c>
      <c r="Q19" s="123">
        <f>(Q10+Q11+Q12+Q18)*nom_interest/2</f>
        <v>4.8287375994468595</v>
      </c>
      <c r="S19" s="123" t="s">
        <v>45</v>
      </c>
      <c r="T19" s="123">
        <f>(T10+T11+T12+T18)*nom_interest/2</f>
        <v>1.2423529411764707</v>
      </c>
      <c r="V19" s="596" t="s">
        <v>45</v>
      </c>
      <c r="W19" s="596">
        <f>(W10+W11+W12+W18)*nom_interest/2</f>
        <v>0.17143303518389252</v>
      </c>
      <c r="Y19" s="596" t="s">
        <v>45</v>
      </c>
      <c r="Z19" s="596">
        <f>(Z10+Z11+Z12+Z18)*nom_interest/2</f>
        <v>2.5968598306329842E-2</v>
      </c>
      <c r="AB19" s="596" t="s">
        <v>45</v>
      </c>
      <c r="AC19" s="596">
        <f>(AC10+AC11+AC12+AC18)*nom_interest/2</f>
        <v>0.74541637023217688</v>
      </c>
      <c r="AE19" s="596" t="s">
        <v>45</v>
      </c>
      <c r="AF19" s="596">
        <f>(AF10+AF11+AF12+AF18)*nom_interest/2</f>
        <v>0.12176470588235293</v>
      </c>
      <c r="AH19" s="596" t="s">
        <v>45</v>
      </c>
      <c r="AI19" s="596">
        <f>(AI10+AI11+AI12+AI18)*nom_interest/2</f>
        <v>0.24320041176470591</v>
      </c>
      <c r="AK19" s="123" t="s">
        <v>45</v>
      </c>
      <c r="AL19" s="123">
        <f>(AL10+AL11+AL12+AL18)*nom_interest/2</f>
        <v>2.7671372294560195</v>
      </c>
      <c r="AM19" s="274"/>
      <c r="AN19" s="612" t="s">
        <v>45</v>
      </c>
      <c r="AO19" s="620" t="s">
        <v>8</v>
      </c>
      <c r="AP19" s="289"/>
      <c r="AQ19" s="123" t="s">
        <v>45</v>
      </c>
      <c r="AR19" s="123">
        <f>(AR10+AR11+AR12+AR18)*nom_interest/2</f>
        <v>3.0902406790666088</v>
      </c>
      <c r="AT19" s="123" t="s">
        <v>45</v>
      </c>
      <c r="AU19" s="123">
        <f>(AU10+AU11+AU12+AU18)*nom_interest/2</f>
        <v>7.7184616319437502E-2</v>
      </c>
      <c r="AV19" s="50"/>
      <c r="AW19" s="123" t="s">
        <v>45</v>
      </c>
      <c r="AX19" s="123">
        <f>(AX10+AX11+AX12+AX18)*nom_interest/2</f>
        <v>0.32633251703296934</v>
      </c>
      <c r="AY19" s="289"/>
      <c r="AZ19" s="123" t="s">
        <v>45</v>
      </c>
      <c r="BA19" s="123">
        <f>(BA10+BA11+BA12+BA18)*nom_interest/2</f>
        <v>0.46970723302357598</v>
      </c>
      <c r="BB19" s="289"/>
      <c r="BC19" s="123" t="s">
        <v>45</v>
      </c>
      <c r="BD19" s="123">
        <f>(BD10+BD11+BD12+BD18)*nom_interest/2</f>
        <v>0.69928396507064861</v>
      </c>
      <c r="BE19" s="305"/>
      <c r="BF19" s="305"/>
      <c r="BG19" s="305"/>
      <c r="BH19" s="4"/>
      <c r="BI19" s="4"/>
      <c r="BJ19" s="4"/>
      <c r="BK19" s="4"/>
      <c r="BL19" s="4"/>
      <c r="BM19" s="4"/>
      <c r="BN19" s="4"/>
      <c r="BO19" s="4"/>
      <c r="BP19" s="4"/>
      <c r="BQ19" s="4"/>
      <c r="BR19" s="4"/>
      <c r="BS19" s="4"/>
      <c r="BT19" s="4"/>
      <c r="BU19" s="4"/>
    </row>
    <row r="20" spans="1:73" ht="16.5" thickBot="1" x14ac:dyDescent="0.3">
      <c r="A20" s="113">
        <v>17</v>
      </c>
      <c r="B20" s="563" t="str">
        <f>'Farm Machinery'!B18</f>
        <v>Tandom Disk</v>
      </c>
      <c r="C20" s="564">
        <f>BD13</f>
        <v>23.309465502354954</v>
      </c>
      <c r="D20" s="564">
        <f>BD17</f>
        <v>30.488689831535311</v>
      </c>
      <c r="E20" s="565">
        <f>BD20</f>
        <v>31.187973796605959</v>
      </c>
      <c r="G20" s="323" t="s">
        <v>46</v>
      </c>
      <c r="H20" s="323">
        <f>H17+H18+H19</f>
        <v>65.313350520751413</v>
      </c>
      <c r="J20" s="586" t="s">
        <v>46</v>
      </c>
      <c r="K20" s="586">
        <f>K17+K18+K19</f>
        <v>56.945613166847664</v>
      </c>
      <c r="L20" s="63"/>
      <c r="M20" s="323" t="s">
        <v>46</v>
      </c>
      <c r="N20" s="323">
        <f>N17+N18+N19</f>
        <v>87.881015940799998</v>
      </c>
      <c r="P20" s="323" t="s">
        <v>46</v>
      </c>
      <c r="Q20" s="323">
        <f>Q17+Q18+Q19</f>
        <v>521.0272344940588</v>
      </c>
      <c r="S20" s="323" t="s">
        <v>46</v>
      </c>
      <c r="T20" s="323">
        <f>T17+T18+T19</f>
        <v>71.149036867481129</v>
      </c>
      <c r="V20" s="605" t="s">
        <v>46</v>
      </c>
      <c r="W20" s="605">
        <f>W17+W18+W19</f>
        <v>9.015455311686198</v>
      </c>
      <c r="Y20" s="609" t="s">
        <v>46</v>
      </c>
      <c r="Z20" s="609">
        <f>Z17+Z18+Z19</f>
        <v>2.1829155111481557</v>
      </c>
      <c r="AB20" s="605" t="s">
        <v>46</v>
      </c>
      <c r="AC20" s="605">
        <f>AC17+AC18+AC19</f>
        <v>60.498522933886861</v>
      </c>
      <c r="AE20" s="605" t="s">
        <v>46</v>
      </c>
      <c r="AF20" s="605">
        <f>AF17+AF18+AF19</f>
        <v>9.4163352879559454</v>
      </c>
      <c r="AH20" s="605" t="s">
        <v>46</v>
      </c>
      <c r="AI20" s="605">
        <f>AI17+AI18+AI19</f>
        <v>14.979926130565671</v>
      </c>
      <c r="AK20" s="323" t="s">
        <v>46</v>
      </c>
      <c r="AL20" s="323">
        <f>AL17+AL18+AL19</f>
        <v>106.85313297487312</v>
      </c>
      <c r="AM20" s="324"/>
      <c r="AN20" s="619" t="s">
        <v>46</v>
      </c>
      <c r="AO20" s="621" t="s">
        <v>8</v>
      </c>
      <c r="AP20" s="324"/>
      <c r="AQ20" s="323" t="s">
        <v>46</v>
      </c>
      <c r="AR20" s="323">
        <f>AR17+AR18+AR19</f>
        <v>210.36762835781235</v>
      </c>
      <c r="AT20" s="323" t="s">
        <v>46</v>
      </c>
      <c r="AU20" s="323">
        <f>AU17+AU18+AU19</f>
        <v>27.842105063323018</v>
      </c>
      <c r="AW20" s="323" t="s">
        <v>46</v>
      </c>
      <c r="AX20" s="323">
        <f>AX17+AX18+AX19</f>
        <v>21.688105403929068</v>
      </c>
      <c r="AY20" s="274"/>
      <c r="AZ20" s="323" t="s">
        <v>46</v>
      </c>
      <c r="BA20" s="323">
        <f>BA17+BA18+BA19</f>
        <v>34.447184397904799</v>
      </c>
      <c r="BB20" s="274"/>
      <c r="BC20" s="323" t="s">
        <v>46</v>
      </c>
      <c r="BD20" s="323">
        <f>BD17+BD18+BD19</f>
        <v>31.187973796605959</v>
      </c>
      <c r="BE20" s="306"/>
      <c r="BF20" s="306"/>
      <c r="BG20" s="305"/>
      <c r="BH20" s="4"/>
      <c r="BI20" s="4"/>
      <c r="BJ20" s="4"/>
      <c r="BK20" s="4"/>
      <c r="BL20" s="4"/>
      <c r="BM20" s="4"/>
      <c r="BN20" s="4"/>
      <c r="BO20" s="4"/>
      <c r="BP20" s="4"/>
      <c r="BQ20" s="4"/>
      <c r="BR20" s="4"/>
      <c r="BS20" s="4"/>
      <c r="BT20" s="4"/>
      <c r="BU20" s="4"/>
    </row>
    <row r="21" spans="1:73" ht="16.5" thickTop="1" x14ac:dyDescent="0.25">
      <c r="G21" s="63"/>
      <c r="H21" s="325"/>
      <c r="J21" s="63"/>
      <c r="K21" s="326"/>
      <c r="L21" s="63"/>
      <c r="M21" s="63"/>
      <c r="N21" s="326"/>
      <c r="Q21" s="50"/>
      <c r="S21" s="63"/>
      <c r="T21" s="326"/>
      <c r="V21" s="63"/>
      <c r="W21" s="326"/>
      <c r="Y21" s="63"/>
      <c r="Z21" s="326"/>
      <c r="AB21" s="220"/>
      <c r="AC21" s="326"/>
      <c r="AE21" s="63"/>
      <c r="AF21" s="326"/>
      <c r="AH21" s="220"/>
      <c r="AI21" s="326"/>
      <c r="AK21" s="274"/>
      <c r="AL21" s="326"/>
      <c r="AM21" s="274"/>
      <c r="AN21" s="274"/>
      <c r="AO21" s="274"/>
      <c r="AP21" s="274"/>
      <c r="AS21" s="216"/>
      <c r="AT21" s="2" t="s">
        <v>486</v>
      </c>
      <c r="AU21" s="274"/>
      <c r="AV21" s="274"/>
      <c r="AW21" s="274"/>
      <c r="AX21" s="274"/>
      <c r="AY21" s="274"/>
      <c r="AZ21" s="274"/>
      <c r="BA21" s="274"/>
      <c r="BB21" s="274"/>
      <c r="BC21" s="274"/>
      <c r="BD21" s="274"/>
      <c r="BE21" s="306"/>
      <c r="BF21" s="306"/>
      <c r="BG21" s="306"/>
      <c r="BH21" s="4"/>
      <c r="BI21" s="4"/>
      <c r="BJ21" s="4"/>
      <c r="BK21" s="4"/>
      <c r="BL21" s="4"/>
      <c r="BM21" s="4"/>
      <c r="BN21" s="4"/>
      <c r="BO21" s="4"/>
      <c r="BP21" s="4"/>
      <c r="BQ21" s="4"/>
      <c r="BR21" s="4"/>
      <c r="BS21" s="4"/>
      <c r="BT21" s="4"/>
      <c r="BU21" s="4"/>
    </row>
    <row r="22" spans="1:73" x14ac:dyDescent="0.25">
      <c r="A22" s="14" t="s">
        <v>271</v>
      </c>
      <c r="J22" s="63"/>
      <c r="K22" s="326"/>
      <c r="L22" s="63"/>
      <c r="M22" s="63"/>
      <c r="N22" s="326"/>
      <c r="Q22" s="281"/>
      <c r="S22" s="63"/>
      <c r="T22" s="326"/>
      <c r="V22" s="63"/>
      <c r="W22" s="326"/>
      <c r="Y22" s="244"/>
      <c r="Z22" s="265"/>
      <c r="AA22" s="4"/>
      <c r="AB22" s="220"/>
      <c r="AC22" s="326"/>
      <c r="AE22" s="63"/>
      <c r="AF22" s="326"/>
      <c r="AH22" s="261"/>
      <c r="AI22" s="265"/>
      <c r="AK22" s="274"/>
      <c r="AL22" s="326"/>
      <c r="AM22" s="274"/>
      <c r="AN22" s="274"/>
      <c r="AO22" s="274"/>
      <c r="AP22" s="274"/>
      <c r="AS22" s="274"/>
      <c r="AT22" s="274"/>
      <c r="AU22" s="274"/>
      <c r="AV22" s="274"/>
      <c r="AW22" s="274"/>
      <c r="AX22" s="274"/>
      <c r="AY22" s="274"/>
      <c r="AZ22" s="274"/>
      <c r="BA22" s="327"/>
      <c r="BB22" s="274"/>
      <c r="BC22" s="274"/>
      <c r="BD22" s="274"/>
      <c r="BE22" s="306"/>
      <c r="BF22" s="306"/>
      <c r="BG22" s="306"/>
      <c r="BH22" s="4"/>
      <c r="BI22" s="4"/>
      <c r="BJ22" s="4"/>
      <c r="BK22" s="4"/>
      <c r="BL22" s="4"/>
      <c r="BM22" s="4"/>
      <c r="BN22" s="4"/>
      <c r="BO22" s="4"/>
      <c r="BP22" s="4"/>
      <c r="BQ22" s="4"/>
      <c r="BR22" s="4"/>
      <c r="BS22" s="4"/>
      <c r="BT22" s="4"/>
      <c r="BU22" s="4"/>
    </row>
    <row r="23" spans="1:73" x14ac:dyDescent="0.25">
      <c r="A23" s="2" t="s">
        <v>487</v>
      </c>
      <c r="K23" s="265"/>
      <c r="L23" s="63"/>
      <c r="M23" s="244"/>
      <c r="N23" s="265"/>
      <c r="S23" s="328"/>
      <c r="T23" s="265"/>
      <c r="V23" s="244"/>
      <c r="W23" s="265"/>
      <c r="Y23" s="244"/>
      <c r="Z23" s="265"/>
      <c r="AA23" s="4"/>
      <c r="AB23" s="261"/>
      <c r="AC23" s="265"/>
      <c r="AE23" s="244"/>
      <c r="AF23" s="265"/>
      <c r="AH23" s="261"/>
      <c r="AI23" s="265"/>
      <c r="AK23" s="306"/>
      <c r="AL23" s="265"/>
      <c r="AM23" s="306"/>
      <c r="AN23" s="274"/>
      <c r="AR23" s="329"/>
      <c r="BE23" s="4"/>
      <c r="BF23" s="4"/>
      <c r="BG23" s="306"/>
      <c r="BH23" s="330"/>
      <c r="BI23" s="331"/>
      <c r="BJ23" s="306"/>
      <c r="BK23" s="306"/>
      <c r="BL23" s="306"/>
      <c r="BM23" s="306"/>
      <c r="BN23" s="306"/>
      <c r="BO23" s="306"/>
      <c r="BP23" s="4"/>
      <c r="BQ23" s="4"/>
      <c r="BR23" s="4"/>
      <c r="BS23" s="4"/>
      <c r="BT23" s="4"/>
      <c r="BU23" s="4"/>
    </row>
    <row r="24" spans="1:73" x14ac:dyDescent="0.25">
      <c r="J24" s="4"/>
      <c r="K24" s="4"/>
      <c r="L24" s="63"/>
      <c r="M24" s="4"/>
      <c r="N24" s="4"/>
      <c r="P24" s="63"/>
      <c r="Q24" s="332"/>
      <c r="S24" s="4"/>
      <c r="T24" s="4"/>
      <c r="V24" s="4"/>
      <c r="W24" s="4"/>
      <c r="Y24" s="4"/>
      <c r="Z24" s="4"/>
      <c r="AA24" s="4"/>
      <c r="AB24" s="4"/>
      <c r="AC24" s="4"/>
      <c r="AE24" s="4"/>
      <c r="AF24" s="4"/>
      <c r="AH24" s="4"/>
      <c r="AI24" s="4"/>
      <c r="AK24" s="4"/>
      <c r="AL24" s="4"/>
      <c r="AM24" s="4"/>
      <c r="AT24" s="249"/>
      <c r="AW24" s="249"/>
      <c r="AZ24" s="249"/>
      <c r="BE24" s="4"/>
      <c r="BF24" s="4"/>
      <c r="BG24" s="333"/>
      <c r="BH24" s="334"/>
      <c r="BI24" s="331"/>
      <c r="BJ24" s="331"/>
      <c r="BK24" s="335"/>
      <c r="BL24" s="306"/>
      <c r="BM24" s="306"/>
      <c r="BN24" s="306"/>
      <c r="BO24" s="306"/>
      <c r="BP24" s="4"/>
      <c r="BQ24" s="4"/>
      <c r="BR24" s="4"/>
      <c r="BS24" s="4"/>
      <c r="BT24" s="4"/>
      <c r="BU24" s="4"/>
    </row>
    <row r="25" spans="1:73" ht="17.25" customHeight="1" x14ac:dyDescent="0.25">
      <c r="H25" s="249"/>
      <c r="J25" s="4"/>
      <c r="K25" s="4"/>
      <c r="L25" s="63"/>
      <c r="M25" s="4"/>
      <c r="N25" s="4"/>
      <c r="P25" s="63"/>
      <c r="Q25" s="332"/>
      <c r="S25" s="4"/>
      <c r="T25" s="4"/>
      <c r="V25" s="4"/>
      <c r="W25" s="4"/>
      <c r="Y25" s="4"/>
      <c r="Z25" s="4"/>
      <c r="AA25" s="4"/>
      <c r="AE25" s="4"/>
      <c r="AF25" s="4"/>
      <c r="AH25" s="4"/>
      <c r="AI25" s="4"/>
      <c r="AK25" s="249"/>
      <c r="AM25" s="4"/>
      <c r="AO25" s="329"/>
      <c r="AQ25" s="249"/>
      <c r="AS25" s="244"/>
      <c r="AT25" s="249"/>
      <c r="AW25" s="249"/>
      <c r="AZ25" s="249"/>
      <c r="BE25" s="4"/>
      <c r="BF25" s="4"/>
      <c r="BG25" s="336"/>
      <c r="BH25" s="306"/>
      <c r="BI25" s="331"/>
      <c r="BJ25" s="306"/>
      <c r="BK25" s="306"/>
      <c r="BL25" s="306"/>
      <c r="BM25" s="306"/>
      <c r="BN25" s="306"/>
      <c r="BO25" s="306"/>
      <c r="BP25" s="4"/>
      <c r="BQ25" s="4"/>
      <c r="BR25" s="4"/>
      <c r="BS25" s="4"/>
      <c r="BT25" s="4"/>
      <c r="BU25" s="4"/>
    </row>
    <row r="26" spans="1:73" ht="16.5" customHeight="1" x14ac:dyDescent="0.25">
      <c r="G26" s="249"/>
      <c r="J26" s="255"/>
      <c r="K26" s="255"/>
      <c r="L26" s="63"/>
      <c r="M26" s="249"/>
      <c r="P26" s="244"/>
      <c r="Q26" s="264"/>
      <c r="S26" s="4"/>
      <c r="T26" s="4"/>
      <c r="AK26" s="249"/>
      <c r="AO26" s="329"/>
      <c r="AQ26" s="249"/>
      <c r="AS26" s="247"/>
      <c r="AT26" s="249"/>
      <c r="AW26" s="249"/>
      <c r="AZ26" s="249"/>
      <c r="BE26" s="4"/>
      <c r="BF26" s="4"/>
      <c r="BG26" s="336"/>
      <c r="BH26" s="337"/>
      <c r="BI26" s="331"/>
      <c r="BJ26" s="306"/>
      <c r="BK26" s="306"/>
      <c r="BL26" s="306"/>
      <c r="BM26" s="306"/>
      <c r="BN26" s="306"/>
      <c r="BO26" s="306"/>
      <c r="BP26" s="4"/>
      <c r="BQ26" s="4"/>
      <c r="BR26" s="4"/>
      <c r="BS26" s="4"/>
      <c r="BT26" s="4"/>
      <c r="BU26" s="4"/>
    </row>
    <row r="27" spans="1:73" x14ac:dyDescent="0.25">
      <c r="G27" s="249"/>
      <c r="I27" s="238"/>
      <c r="L27" s="63"/>
      <c r="M27" s="249"/>
      <c r="P27" s="4"/>
      <c r="Q27" s="94"/>
      <c r="X27" s="238"/>
      <c r="AA27" s="238"/>
      <c r="AD27" s="238"/>
      <c r="AG27" s="238"/>
      <c r="AK27" s="249"/>
      <c r="AO27" s="329"/>
      <c r="AQ27" s="249"/>
      <c r="AS27" s="262"/>
      <c r="AT27" s="249"/>
      <c r="AW27" s="249"/>
      <c r="AZ27" s="249"/>
      <c r="BE27" s="4"/>
      <c r="BF27" s="4"/>
      <c r="BG27" s="306"/>
      <c r="BH27" s="306"/>
      <c r="BI27" s="306"/>
      <c r="BJ27" s="306"/>
      <c r="BK27" s="306"/>
      <c r="BL27" s="306"/>
      <c r="BM27" s="306"/>
      <c r="BN27" s="306"/>
      <c r="BO27" s="306"/>
      <c r="BP27" s="4"/>
      <c r="BQ27" s="4"/>
      <c r="BR27" s="4"/>
      <c r="BS27" s="4"/>
      <c r="BT27" s="4"/>
      <c r="BU27" s="4"/>
    </row>
    <row r="28" spans="1:73" x14ac:dyDescent="0.25">
      <c r="G28" s="249"/>
      <c r="I28" s="240"/>
      <c r="L28" s="240"/>
      <c r="M28" s="249"/>
      <c r="O28" s="240"/>
      <c r="Q28" s="285"/>
      <c r="R28" s="240"/>
      <c r="U28" s="240"/>
      <c r="X28" s="240"/>
      <c r="AA28" s="240"/>
      <c r="AD28" s="240"/>
      <c r="AG28" s="240"/>
      <c r="AJ28" s="240"/>
      <c r="AK28" s="249"/>
      <c r="AO28" s="338"/>
      <c r="AQ28" s="249"/>
      <c r="AS28" s="282"/>
      <c r="AT28" s="255"/>
      <c r="AU28" s="14"/>
      <c r="AW28" s="255"/>
      <c r="AX28" s="14"/>
      <c r="AZ28" s="255"/>
      <c r="BA28" s="14"/>
      <c r="BE28" s="4"/>
      <c r="BF28" s="4"/>
      <c r="BG28" s="306"/>
      <c r="BH28" s="339"/>
      <c r="BI28" s="339"/>
      <c r="BJ28" s="340"/>
      <c r="BK28" s="331"/>
      <c r="BL28" s="306"/>
      <c r="BM28" s="306"/>
      <c r="BN28" s="306"/>
      <c r="BO28" s="306"/>
      <c r="BP28" s="4"/>
      <c r="BQ28" s="4"/>
      <c r="BR28" s="4"/>
      <c r="BS28" s="4"/>
      <c r="BT28" s="4"/>
      <c r="BU28" s="4"/>
    </row>
    <row r="29" spans="1:73" ht="18" customHeight="1" x14ac:dyDescent="0.25">
      <c r="G29" s="249"/>
      <c r="M29" s="249"/>
      <c r="P29" s="249"/>
      <c r="AK29" s="255"/>
      <c r="AL29" s="14"/>
      <c r="AO29" s="329"/>
      <c r="AQ29" s="255"/>
      <c r="AR29" s="14"/>
      <c r="AS29" s="244"/>
      <c r="BE29" s="4"/>
      <c r="BF29" s="4"/>
      <c r="BG29" s="306"/>
      <c r="BH29" s="306"/>
      <c r="BI29" s="306"/>
      <c r="BJ29" s="306"/>
      <c r="BK29" s="306"/>
      <c r="BL29" s="306"/>
      <c r="BM29" s="306"/>
      <c r="BN29" s="306"/>
      <c r="BO29" s="306"/>
      <c r="BP29" s="4"/>
      <c r="BQ29" s="4"/>
      <c r="BR29" s="4"/>
      <c r="BS29" s="4"/>
      <c r="BT29" s="4"/>
      <c r="BU29" s="4"/>
    </row>
    <row r="30" spans="1:73" ht="17.25" customHeight="1" x14ac:dyDescent="0.25">
      <c r="B30" s="63"/>
      <c r="E30" s="280"/>
      <c r="G30" s="249"/>
      <c r="H30" s="249"/>
      <c r="I30" s="281"/>
      <c r="M30" s="255"/>
      <c r="N30" s="14"/>
      <c r="P30" s="249"/>
      <c r="X30" s="281"/>
      <c r="AA30" s="281"/>
      <c r="AD30" s="281"/>
      <c r="AG30" s="281"/>
      <c r="AS30" s="53"/>
      <c r="AT30" s="4"/>
      <c r="AU30" s="304"/>
      <c r="AV30" s="50"/>
      <c r="BE30" s="4"/>
      <c r="BF30" s="4"/>
      <c r="BG30" s="306"/>
      <c r="BH30" s="306"/>
      <c r="BI30" s="306"/>
      <c r="BJ30" s="306"/>
      <c r="BK30" s="306"/>
      <c r="BL30" s="306"/>
      <c r="BM30" s="306"/>
      <c r="BN30" s="306"/>
      <c r="BO30" s="306"/>
      <c r="BP30" s="4"/>
      <c r="BQ30" s="4"/>
      <c r="BR30" s="4"/>
      <c r="BS30" s="4"/>
      <c r="BT30" s="4"/>
      <c r="BU30" s="4"/>
    </row>
    <row r="31" spans="1:73" x14ac:dyDescent="0.25">
      <c r="B31" s="63"/>
      <c r="E31" s="280"/>
      <c r="P31" s="249"/>
      <c r="AL31" s="14"/>
      <c r="AQ31" s="303"/>
      <c r="AR31" s="304"/>
      <c r="AS31" s="4"/>
      <c r="AT31" s="4"/>
      <c r="AU31" s="4"/>
      <c r="BE31" s="4"/>
      <c r="BF31" s="4"/>
      <c r="BG31" s="306"/>
      <c r="BH31" s="315"/>
      <c r="BI31" s="306"/>
      <c r="BJ31" s="306"/>
      <c r="BK31" s="306"/>
      <c r="BL31" s="306"/>
      <c r="BM31" s="306"/>
      <c r="BN31" s="306"/>
      <c r="BO31" s="306"/>
      <c r="BP31" s="4"/>
      <c r="BQ31" s="4"/>
      <c r="BR31" s="4"/>
      <c r="BS31" s="4"/>
      <c r="BT31" s="4"/>
      <c r="BU31" s="4"/>
    </row>
    <row r="32" spans="1:73" ht="15.75" customHeight="1" x14ac:dyDescent="0.25">
      <c r="B32" s="63"/>
      <c r="E32" s="280"/>
      <c r="P32" s="249"/>
      <c r="AQ32" s="287"/>
      <c r="AR32" s="261"/>
      <c r="AS32" s="4"/>
      <c r="AT32" s="4"/>
      <c r="AU32" s="4"/>
      <c r="BE32" s="4"/>
      <c r="BF32" s="4"/>
      <c r="BG32" s="305"/>
      <c r="BH32" s="305"/>
      <c r="BI32" s="305"/>
      <c r="BJ32" s="305"/>
      <c r="BK32" s="305"/>
      <c r="BL32" s="305"/>
      <c r="BM32" s="305"/>
      <c r="BN32" s="305"/>
      <c r="BO32" s="305"/>
      <c r="BP32" s="4"/>
      <c r="BQ32" s="4"/>
      <c r="BR32" s="4"/>
      <c r="BS32" s="4"/>
      <c r="BT32" s="4"/>
      <c r="BU32" s="4"/>
    </row>
    <row r="33" spans="2:73" ht="15" customHeight="1" x14ac:dyDescent="0.25">
      <c r="B33" s="295"/>
      <c r="G33" s="238"/>
      <c r="I33" s="50"/>
      <c r="P33" s="255"/>
      <c r="Q33" s="14"/>
      <c r="X33" s="50"/>
      <c r="AA33" s="50"/>
      <c r="AD33" s="50"/>
      <c r="AG33" s="50"/>
      <c r="AQ33" s="341"/>
      <c r="AR33" s="275"/>
      <c r="AS33" s="304"/>
      <c r="AT33" s="4"/>
      <c r="AU33" s="4"/>
      <c r="BE33" s="4"/>
      <c r="BF33" s="4"/>
      <c r="BG33" s="305"/>
      <c r="BH33" s="305"/>
      <c r="BI33" s="305"/>
      <c r="BJ33" s="305"/>
      <c r="BK33" s="306"/>
      <c r="BL33" s="306"/>
      <c r="BM33" s="306"/>
      <c r="BN33" s="306"/>
      <c r="BO33" s="306"/>
      <c r="BP33" s="4"/>
      <c r="BQ33" s="4"/>
      <c r="BR33" s="4"/>
      <c r="BS33" s="4"/>
      <c r="BT33" s="4"/>
      <c r="BU33" s="4"/>
    </row>
    <row r="34" spans="2:73" ht="18" customHeight="1" x14ac:dyDescent="0.25">
      <c r="B34" s="342"/>
      <c r="G34" s="240"/>
      <c r="I34" s="50"/>
      <c r="X34" s="50"/>
      <c r="AA34" s="50"/>
      <c r="AD34" s="50"/>
      <c r="AG34" s="50"/>
      <c r="AQ34" s="303"/>
      <c r="AR34" s="304"/>
      <c r="AS34" s="304"/>
      <c r="AT34" s="4"/>
      <c r="AU34" s="4"/>
      <c r="BE34" s="4"/>
      <c r="BF34" s="4"/>
      <c r="BG34" s="305"/>
      <c r="BH34" s="343"/>
      <c r="BI34" s="305"/>
      <c r="BJ34" s="305"/>
      <c r="BK34" s="306"/>
      <c r="BL34" s="306"/>
      <c r="BM34" s="306"/>
      <c r="BN34" s="306"/>
      <c r="BO34" s="306"/>
      <c r="BP34" s="4"/>
      <c r="BQ34" s="4"/>
      <c r="BR34" s="4"/>
      <c r="BS34" s="4"/>
      <c r="BT34" s="4"/>
      <c r="BU34" s="4"/>
    </row>
    <row r="35" spans="2:73" ht="16.5" customHeight="1" x14ac:dyDescent="0.25">
      <c r="B35" s="295"/>
      <c r="I35" s="50"/>
      <c r="Q35" s="14"/>
      <c r="X35" s="50"/>
      <c r="AA35" s="50"/>
      <c r="AD35" s="50"/>
      <c r="AG35" s="50"/>
      <c r="AQ35" s="303"/>
      <c r="AR35" s="304"/>
      <c r="AS35" s="304"/>
      <c r="AT35" s="4"/>
      <c r="AU35" s="4"/>
      <c r="BE35" s="4"/>
      <c r="BF35" s="4"/>
      <c r="BG35" s="305"/>
      <c r="BH35" s="305"/>
      <c r="BI35" s="305"/>
      <c r="BJ35" s="305"/>
      <c r="BK35" s="306"/>
      <c r="BL35" s="306"/>
      <c r="BM35" s="306"/>
      <c r="BN35" s="306"/>
      <c r="BO35" s="306"/>
      <c r="BP35" s="4"/>
      <c r="BQ35" s="4"/>
      <c r="BR35" s="4"/>
      <c r="BS35" s="4"/>
      <c r="BT35" s="4"/>
      <c r="BU35" s="4"/>
    </row>
    <row r="36" spans="2:73" ht="19.5" customHeight="1" x14ac:dyDescent="0.25">
      <c r="B36" s="295"/>
      <c r="I36" s="50"/>
      <c r="Q36" s="14"/>
      <c r="X36" s="50"/>
      <c r="AA36" s="50"/>
      <c r="AD36" s="50"/>
      <c r="AG36" s="50"/>
      <c r="AQ36" s="303"/>
      <c r="AR36" s="304"/>
      <c r="AS36" s="304"/>
      <c r="AT36" s="4"/>
      <c r="AU36" s="4"/>
      <c r="BE36" s="4"/>
      <c r="BF36" s="4"/>
      <c r="BG36" s="305"/>
      <c r="BH36" s="305"/>
      <c r="BI36" s="305"/>
      <c r="BJ36" s="344"/>
      <c r="BK36" s="306"/>
      <c r="BL36" s="306"/>
      <c r="BM36" s="306"/>
      <c r="BN36" s="306"/>
      <c r="BO36" s="306"/>
      <c r="BP36" s="4"/>
      <c r="BQ36" s="4"/>
      <c r="BR36" s="4"/>
      <c r="BS36" s="4"/>
      <c r="BT36" s="4"/>
      <c r="BU36" s="4"/>
    </row>
    <row r="37" spans="2:73" ht="18.75" customHeight="1" x14ac:dyDescent="0.25">
      <c r="B37" s="295"/>
      <c r="G37" s="249"/>
      <c r="I37" s="50"/>
      <c r="Q37" s="14"/>
      <c r="X37" s="50"/>
      <c r="AA37" s="50"/>
      <c r="AD37" s="50"/>
      <c r="AG37" s="50"/>
      <c r="AQ37" s="303"/>
      <c r="AR37" s="304"/>
      <c r="AS37" s="304"/>
      <c r="AT37" s="4"/>
      <c r="AU37" s="4"/>
      <c r="BE37" s="4"/>
      <c r="BF37" s="4"/>
      <c r="BG37" s="305"/>
      <c r="BH37" s="305"/>
      <c r="BI37" s="305"/>
      <c r="BJ37" s="305"/>
      <c r="BK37" s="306"/>
      <c r="BL37" s="306"/>
      <c r="BM37" s="306"/>
      <c r="BN37" s="306"/>
      <c r="BO37" s="306"/>
      <c r="BP37" s="4"/>
      <c r="BQ37" s="4"/>
      <c r="BR37" s="4"/>
      <c r="BS37" s="4"/>
      <c r="BT37" s="4"/>
      <c r="BU37" s="4"/>
    </row>
    <row r="38" spans="2:73" ht="19.5" customHeight="1" x14ac:dyDescent="0.25">
      <c r="B38" s="295"/>
      <c r="I38" s="50"/>
      <c r="Q38" s="14"/>
      <c r="X38" s="50"/>
      <c r="AA38" s="50"/>
      <c r="AD38" s="50"/>
      <c r="AG38" s="50"/>
      <c r="AQ38" s="303"/>
      <c r="AR38" s="304"/>
      <c r="AS38" s="304"/>
      <c r="AT38" s="4"/>
      <c r="AU38" s="4"/>
      <c r="BE38" s="4"/>
      <c r="BF38" s="4"/>
      <c r="BG38" s="345"/>
      <c r="BH38" s="305"/>
      <c r="BI38" s="305"/>
      <c r="BJ38" s="346"/>
      <c r="BK38" s="346"/>
      <c r="BL38" s="346"/>
      <c r="BM38" s="346"/>
      <c r="BN38" s="346"/>
      <c r="BO38" s="306"/>
      <c r="BP38" s="4"/>
      <c r="BQ38" s="4"/>
      <c r="BR38" s="4"/>
      <c r="BS38" s="4"/>
      <c r="BT38" s="4"/>
      <c r="BU38" s="4"/>
    </row>
    <row r="39" spans="2:73" ht="20.25" customHeight="1" x14ac:dyDescent="0.25">
      <c r="B39" s="342"/>
      <c r="I39" s="50"/>
      <c r="Q39" s="347"/>
      <c r="X39" s="50"/>
      <c r="AA39" s="50"/>
      <c r="AD39" s="50"/>
      <c r="AG39" s="50"/>
      <c r="AQ39" s="303"/>
      <c r="AR39" s="304"/>
      <c r="AS39" s="304"/>
      <c r="AT39" s="4"/>
      <c r="AU39" s="4"/>
      <c r="BE39" s="4"/>
      <c r="BF39" s="4"/>
      <c r="BG39" s="345"/>
      <c r="BH39" s="305"/>
      <c r="BI39" s="305"/>
      <c r="BJ39" s="346"/>
      <c r="BK39" s="346"/>
      <c r="BL39" s="346"/>
      <c r="BM39" s="346"/>
      <c r="BN39" s="346"/>
      <c r="BO39" s="306"/>
      <c r="BP39" s="4"/>
      <c r="BQ39" s="4"/>
      <c r="BR39" s="4"/>
      <c r="BS39" s="4"/>
      <c r="BT39" s="4"/>
      <c r="BU39" s="4"/>
    </row>
    <row r="40" spans="2:73" ht="20.25" customHeight="1" x14ac:dyDescent="0.25">
      <c r="B40" s="295"/>
      <c r="I40" s="50"/>
      <c r="L40" s="50"/>
      <c r="O40" s="50"/>
      <c r="Q40" s="348"/>
      <c r="R40" s="50"/>
      <c r="U40" s="50"/>
      <c r="X40" s="50"/>
      <c r="AA40" s="50"/>
      <c r="AD40" s="50"/>
      <c r="AG40" s="50"/>
      <c r="AQ40" s="349"/>
      <c r="AR40" s="304"/>
      <c r="AS40" s="304"/>
      <c r="AT40" s="4"/>
      <c r="AU40" s="4"/>
      <c r="BE40" s="4"/>
      <c r="BF40" s="4"/>
      <c r="BG40" s="345"/>
      <c r="BH40" s="305"/>
      <c r="BI40" s="305"/>
      <c r="BJ40" s="346"/>
      <c r="BK40" s="346"/>
      <c r="BL40" s="346"/>
      <c r="BM40" s="346"/>
      <c r="BN40" s="346"/>
      <c r="BO40" s="306"/>
      <c r="BP40" s="4"/>
      <c r="BQ40" s="4"/>
      <c r="BR40" s="4"/>
      <c r="BS40" s="4"/>
      <c r="BT40" s="4"/>
      <c r="BU40" s="4"/>
    </row>
    <row r="41" spans="2:73" ht="19.5" customHeight="1" x14ac:dyDescent="0.25">
      <c r="B41" s="342"/>
      <c r="I41" s="50"/>
      <c r="L41" s="50"/>
      <c r="O41" s="50"/>
      <c r="Q41" s="14"/>
      <c r="R41" s="50"/>
      <c r="U41" s="50"/>
      <c r="X41" s="50"/>
      <c r="AA41" s="50"/>
      <c r="AD41" s="50"/>
      <c r="AG41" s="50"/>
      <c r="AQ41" s="349"/>
      <c r="AR41" s="304"/>
      <c r="AS41" s="304"/>
      <c r="AT41" s="4"/>
      <c r="AU41" s="4"/>
      <c r="BE41" s="4"/>
      <c r="BF41" s="4"/>
      <c r="BG41" s="345"/>
      <c r="BH41" s="305"/>
      <c r="BI41" s="305"/>
      <c r="BJ41" s="346"/>
      <c r="BK41" s="346"/>
      <c r="BL41" s="346"/>
      <c r="BM41" s="346"/>
      <c r="BN41" s="346"/>
      <c r="BO41" s="306"/>
      <c r="BP41" s="4"/>
      <c r="BQ41" s="4"/>
      <c r="BR41" s="4"/>
      <c r="BS41" s="4"/>
      <c r="BT41" s="4"/>
      <c r="BU41" s="4"/>
    </row>
    <row r="42" spans="2:73" ht="17.25" customHeight="1" x14ac:dyDescent="0.25">
      <c r="B42" s="295"/>
      <c r="I42" s="50"/>
      <c r="L42" s="50"/>
      <c r="O42" s="50"/>
      <c r="R42" s="50"/>
      <c r="U42" s="50"/>
      <c r="X42" s="50"/>
      <c r="AA42" s="50"/>
      <c r="AD42" s="50"/>
      <c r="AG42" s="50"/>
      <c r="AQ42" s="304"/>
      <c r="AR42" s="350"/>
      <c r="AS42" s="304"/>
      <c r="AT42" s="4"/>
      <c r="AU42" s="4"/>
      <c r="BE42" s="4"/>
      <c r="BF42" s="4"/>
      <c r="BG42" s="345"/>
      <c r="BH42" s="305"/>
      <c r="BI42" s="305"/>
      <c r="BJ42" s="346"/>
      <c r="BK42" s="346"/>
      <c r="BL42" s="346"/>
      <c r="BM42" s="346"/>
      <c r="BN42" s="346"/>
      <c r="BO42" s="306"/>
      <c r="BP42" s="4"/>
      <c r="BQ42" s="4"/>
      <c r="BR42" s="4"/>
      <c r="BS42" s="4"/>
      <c r="BT42" s="4"/>
      <c r="BU42" s="4"/>
    </row>
    <row r="43" spans="2:73" ht="15" customHeight="1" x14ac:dyDescent="0.25">
      <c r="B43" s="342"/>
      <c r="AQ43" s="304"/>
      <c r="AR43" s="304"/>
      <c r="AS43" s="4"/>
      <c r="AT43" s="4"/>
      <c r="AU43" s="4"/>
      <c r="BE43" s="4"/>
      <c r="BF43" s="4"/>
      <c r="BG43" s="345"/>
      <c r="BH43" s="305"/>
      <c r="BI43" s="305"/>
      <c r="BJ43" s="346"/>
      <c r="BK43" s="346"/>
      <c r="BL43" s="346"/>
      <c r="BM43" s="346"/>
      <c r="BN43" s="346"/>
      <c r="BO43" s="306"/>
      <c r="BP43" s="4"/>
      <c r="BQ43" s="4"/>
      <c r="BR43" s="4"/>
      <c r="BS43" s="4"/>
      <c r="BT43" s="4"/>
      <c r="BU43" s="4"/>
    </row>
    <row r="44" spans="2:73" ht="17.25" customHeight="1" x14ac:dyDescent="0.25">
      <c r="AQ44" s="351"/>
      <c r="AR44" s="351"/>
      <c r="AS44" s="4"/>
      <c r="AT44" s="4"/>
      <c r="AU44" s="4"/>
      <c r="BE44" s="4"/>
      <c r="BF44" s="4"/>
      <c r="BG44" s="352"/>
      <c r="BH44" s="305"/>
      <c r="BI44" s="305"/>
      <c r="BJ44" s="346"/>
      <c r="BK44" s="346"/>
      <c r="BL44" s="346"/>
      <c r="BM44" s="346"/>
      <c r="BN44" s="346"/>
      <c r="BO44" s="306"/>
      <c r="BP44" s="4"/>
      <c r="BQ44" s="4"/>
      <c r="BR44" s="4"/>
      <c r="BS44" s="4"/>
      <c r="BT44" s="4"/>
      <c r="BU44" s="4"/>
    </row>
    <row r="45" spans="2:73" ht="16.5" customHeight="1" x14ac:dyDescent="0.25">
      <c r="AC45" s="281"/>
      <c r="AQ45" s="4"/>
      <c r="AR45" s="4"/>
      <c r="AS45" s="247"/>
      <c r="AT45" s="4"/>
      <c r="AU45" s="4"/>
      <c r="BE45" s="4"/>
      <c r="BF45" s="4"/>
      <c r="BG45" s="353"/>
      <c r="BH45" s="305"/>
      <c r="BI45" s="305"/>
      <c r="BJ45" s="305"/>
      <c r="BK45" s="306"/>
      <c r="BL45" s="306"/>
      <c r="BM45" s="306"/>
      <c r="BN45" s="306"/>
      <c r="BO45" s="306"/>
      <c r="BP45" s="4"/>
      <c r="BQ45" s="4"/>
      <c r="BR45" s="4"/>
      <c r="BS45" s="4"/>
      <c r="BT45" s="4"/>
      <c r="BU45" s="4"/>
    </row>
    <row r="46" spans="2:73" x14ac:dyDescent="0.25">
      <c r="AC46" s="238"/>
      <c r="AQ46" s="4"/>
      <c r="AR46" s="4"/>
      <c r="AS46" s="4"/>
      <c r="AT46" s="4"/>
      <c r="AU46" s="4"/>
      <c r="BE46" s="4"/>
      <c r="BF46" s="4"/>
      <c r="BG46" s="354"/>
      <c r="BH46" s="305"/>
      <c r="BI46" s="305"/>
      <c r="BJ46" s="305"/>
      <c r="BK46" s="306"/>
      <c r="BL46" s="306"/>
      <c r="BM46" s="306"/>
      <c r="BN46" s="306"/>
      <c r="BO46" s="306"/>
      <c r="BP46" s="4"/>
      <c r="BQ46" s="4"/>
      <c r="BR46" s="4"/>
      <c r="BS46" s="4"/>
      <c r="BT46" s="4"/>
      <c r="BU46" s="4"/>
    </row>
    <row r="47" spans="2:73" x14ac:dyDescent="0.25">
      <c r="AQ47" s="4"/>
      <c r="AR47" s="4"/>
      <c r="BE47" s="4"/>
      <c r="BF47" s="4"/>
      <c r="BG47" s="333"/>
      <c r="BH47" s="334"/>
      <c r="BI47" s="333"/>
      <c r="BJ47" s="333"/>
      <c r="BK47" s="306"/>
      <c r="BL47" s="306"/>
      <c r="BM47" s="306"/>
      <c r="BN47" s="306"/>
      <c r="BO47" s="306"/>
      <c r="BP47" s="4"/>
      <c r="BQ47" s="4"/>
      <c r="BR47" s="4"/>
      <c r="BS47" s="4"/>
      <c r="BT47" s="4"/>
      <c r="BU47" s="4"/>
    </row>
    <row r="48" spans="2:73" x14ac:dyDescent="0.25">
      <c r="BE48" s="4"/>
      <c r="BF48" s="4"/>
      <c r="BG48" s="333"/>
      <c r="BH48" s="333"/>
      <c r="BI48" s="333"/>
      <c r="BJ48" s="305"/>
      <c r="BK48" s="331"/>
      <c r="BL48" s="306"/>
      <c r="BM48" s="306"/>
      <c r="BN48" s="306"/>
      <c r="BO48" s="306"/>
      <c r="BP48" s="4"/>
      <c r="BQ48" s="4"/>
      <c r="BR48" s="4"/>
      <c r="BS48" s="4"/>
      <c r="BT48" s="4"/>
      <c r="BU48" s="4"/>
    </row>
    <row r="49" spans="37:73" x14ac:dyDescent="0.25">
      <c r="BE49" s="4"/>
      <c r="BF49" s="4"/>
      <c r="BG49" s="355"/>
      <c r="BH49" s="333"/>
      <c r="BI49" s="333"/>
      <c r="BJ49" s="333"/>
      <c r="BK49" s="306"/>
      <c r="BL49" s="306"/>
      <c r="BM49" s="306"/>
      <c r="BN49" s="306"/>
      <c r="BO49" s="306"/>
      <c r="BP49" s="4"/>
      <c r="BQ49" s="4"/>
      <c r="BR49" s="4"/>
      <c r="BS49" s="4"/>
      <c r="BT49" s="4"/>
      <c r="BU49" s="4"/>
    </row>
    <row r="50" spans="37:73" x14ac:dyDescent="0.25">
      <c r="BE50" s="4"/>
      <c r="BF50" s="4"/>
      <c r="BG50" s="355"/>
      <c r="BH50" s="333"/>
      <c r="BI50" s="333"/>
      <c r="BJ50" s="333"/>
      <c r="BK50" s="306"/>
      <c r="BL50" s="306"/>
      <c r="BM50" s="306"/>
      <c r="BN50" s="306"/>
      <c r="BO50" s="306"/>
      <c r="BP50" s="4"/>
      <c r="BQ50" s="4"/>
      <c r="BR50" s="4"/>
      <c r="BS50" s="4"/>
      <c r="BT50" s="4"/>
      <c r="BU50" s="4"/>
    </row>
    <row r="51" spans="37:73" x14ac:dyDescent="0.25">
      <c r="BE51" s="4"/>
      <c r="BF51" s="4"/>
      <c r="BG51" s="355"/>
      <c r="BH51" s="333"/>
      <c r="BI51" s="333"/>
      <c r="BJ51" s="333"/>
      <c r="BK51" s="306"/>
      <c r="BL51" s="306"/>
      <c r="BM51" s="306"/>
      <c r="BN51" s="306"/>
      <c r="BO51" s="306"/>
      <c r="BP51" s="4"/>
      <c r="BQ51" s="4"/>
      <c r="BR51" s="4"/>
      <c r="BS51" s="4"/>
      <c r="BT51" s="4"/>
      <c r="BU51" s="4"/>
    </row>
    <row r="52" spans="37:73" x14ac:dyDescent="0.25">
      <c r="BE52" s="4"/>
      <c r="BF52" s="4"/>
      <c r="BG52" s="355"/>
      <c r="BH52" s="333"/>
      <c r="BI52" s="333"/>
      <c r="BJ52" s="333"/>
      <c r="BK52" s="306"/>
      <c r="BL52" s="306"/>
      <c r="BM52" s="306"/>
      <c r="BN52" s="306"/>
      <c r="BO52" s="306"/>
      <c r="BP52" s="4"/>
      <c r="BQ52" s="4"/>
      <c r="BR52" s="4"/>
      <c r="BS52" s="4"/>
      <c r="BT52" s="4"/>
      <c r="BU52" s="4"/>
    </row>
    <row r="53" spans="37:73" x14ac:dyDescent="0.25">
      <c r="BE53" s="4"/>
      <c r="BF53" s="4"/>
      <c r="BG53" s="355"/>
      <c r="BH53" s="356"/>
      <c r="BI53" s="356"/>
      <c r="BJ53" s="356"/>
      <c r="BK53" s="306"/>
      <c r="BL53" s="306"/>
      <c r="BM53" s="306"/>
      <c r="BN53" s="306"/>
      <c r="BO53" s="306"/>
      <c r="BP53" s="4"/>
      <c r="BQ53" s="4"/>
      <c r="BR53" s="4"/>
      <c r="BS53" s="4"/>
      <c r="BT53" s="4"/>
      <c r="BU53" s="4"/>
    </row>
    <row r="54" spans="37:73" x14ac:dyDescent="0.25">
      <c r="BE54" s="4"/>
      <c r="BF54" s="4"/>
      <c r="BG54" s="305"/>
      <c r="BH54" s="305"/>
      <c r="BI54" s="305"/>
      <c r="BJ54" s="305"/>
      <c r="BK54" s="306"/>
      <c r="BL54" s="306"/>
      <c r="BM54" s="306"/>
      <c r="BN54" s="306"/>
      <c r="BO54" s="306"/>
      <c r="BP54" s="4"/>
      <c r="BQ54" s="4"/>
      <c r="BR54" s="4"/>
      <c r="BS54" s="4"/>
      <c r="BT54" s="4"/>
      <c r="BU54" s="4"/>
    </row>
    <row r="55" spans="37:73" x14ac:dyDescent="0.25">
      <c r="BE55" s="4"/>
      <c r="BF55" s="4"/>
      <c r="BG55" s="306"/>
      <c r="BH55" s="306"/>
      <c r="BI55" s="306"/>
      <c r="BJ55" s="306"/>
      <c r="BK55" s="306"/>
      <c r="BL55" s="306"/>
      <c r="BM55" s="306"/>
      <c r="BN55" s="306"/>
      <c r="BO55" s="306"/>
      <c r="BP55" s="4"/>
      <c r="BQ55" s="4"/>
      <c r="BR55" s="4"/>
      <c r="BS55" s="4"/>
      <c r="BT55" s="4"/>
      <c r="BU55" s="4"/>
    </row>
    <row r="56" spans="37:73" x14ac:dyDescent="0.25">
      <c r="BE56" s="4"/>
      <c r="BF56" s="4"/>
      <c r="BG56" s="306"/>
      <c r="BH56" s="306"/>
      <c r="BI56" s="306"/>
      <c r="BJ56" s="306"/>
      <c r="BK56" s="306"/>
      <c r="BL56" s="306"/>
      <c r="BM56" s="306"/>
      <c r="BN56" s="306"/>
      <c r="BO56" s="306"/>
      <c r="BP56" s="4"/>
      <c r="BQ56" s="4"/>
      <c r="BR56" s="4"/>
      <c r="BS56" s="4"/>
      <c r="BT56" s="4"/>
      <c r="BU56" s="4"/>
    </row>
    <row r="57" spans="37:73" x14ac:dyDescent="0.25">
      <c r="AO57" s="274"/>
      <c r="AP57" s="274"/>
      <c r="AS57" s="274"/>
      <c r="AT57" s="274"/>
      <c r="AU57" s="274"/>
      <c r="AV57" s="274"/>
      <c r="AW57" s="274"/>
      <c r="AX57" s="274"/>
      <c r="AY57" s="274"/>
      <c r="AZ57" s="274"/>
      <c r="BA57" s="274"/>
      <c r="BB57" s="274"/>
      <c r="BC57" s="274"/>
      <c r="BD57" s="274"/>
      <c r="BE57" s="306"/>
      <c r="BF57" s="306"/>
      <c r="BG57" s="306"/>
      <c r="BH57" s="4"/>
      <c r="BI57" s="4"/>
      <c r="BJ57" s="4"/>
      <c r="BK57" s="4"/>
      <c r="BL57" s="4"/>
      <c r="BM57" s="4"/>
      <c r="BN57" s="4"/>
      <c r="BO57" s="4"/>
      <c r="BP57" s="4"/>
      <c r="BQ57" s="4"/>
      <c r="BR57" s="4"/>
      <c r="BS57" s="4"/>
      <c r="BT57" s="4"/>
      <c r="BU57" s="4"/>
    </row>
    <row r="58" spans="37:73" x14ac:dyDescent="0.25">
      <c r="AK58" s="274"/>
      <c r="AL58" s="274"/>
      <c r="AM58" s="274"/>
      <c r="AN58" s="274"/>
      <c r="AO58" s="357"/>
      <c r="AP58" s="357"/>
      <c r="AQ58" s="274"/>
      <c r="AR58" s="274"/>
      <c r="AS58" s="357"/>
      <c r="AT58" s="357"/>
      <c r="AU58" s="357"/>
      <c r="AV58" s="357"/>
      <c r="AW58" s="357"/>
      <c r="AX58" s="357"/>
      <c r="AY58" s="357"/>
      <c r="AZ58" s="357"/>
      <c r="BA58" s="357"/>
      <c r="BB58" s="357"/>
      <c r="BC58" s="357"/>
      <c r="BD58" s="357"/>
      <c r="BE58" s="357"/>
      <c r="BF58" s="357"/>
      <c r="BG58" s="274"/>
    </row>
    <row r="59" spans="37:73" x14ac:dyDescent="0.25">
      <c r="AK59" s="357"/>
      <c r="AL59" s="357"/>
      <c r="AM59" s="357"/>
      <c r="AN59" s="357"/>
      <c r="AO59" s="274"/>
      <c r="AP59" s="274"/>
      <c r="AQ59" s="357"/>
      <c r="AR59" s="357"/>
      <c r="AS59" s="274"/>
      <c r="AT59" s="274"/>
      <c r="AU59" s="274"/>
      <c r="AV59" s="274"/>
      <c r="AW59" s="274"/>
      <c r="AX59" s="274"/>
      <c r="AY59" s="274"/>
      <c r="AZ59" s="274"/>
      <c r="BA59" s="274"/>
      <c r="BB59" s="274"/>
      <c r="BC59" s="274"/>
      <c r="BD59" s="274"/>
      <c r="BE59" s="274"/>
      <c r="BF59" s="274"/>
      <c r="BG59" s="274"/>
    </row>
    <row r="60" spans="37:73" x14ac:dyDescent="0.25">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358"/>
    </row>
    <row r="61" spans="37:73" x14ac:dyDescent="0.25">
      <c r="AK61" s="274"/>
      <c r="AL61" s="274"/>
      <c r="AM61" s="274"/>
      <c r="AN61" s="274"/>
      <c r="AQ61" s="274"/>
      <c r="AR61" s="274"/>
    </row>
    <row r="71" spans="32:33" x14ac:dyDescent="0.25">
      <c r="AF71" s="238"/>
    </row>
    <row r="72" spans="32:33" x14ac:dyDescent="0.25">
      <c r="AF72" s="238"/>
    </row>
    <row r="73" spans="32:33" x14ac:dyDescent="0.25">
      <c r="AF73" s="238"/>
    </row>
    <row r="74" spans="32:33" x14ac:dyDescent="0.25">
      <c r="AF74" s="238"/>
    </row>
    <row r="75" spans="32:33" x14ac:dyDescent="0.25">
      <c r="AF75" s="238" t="e">
        <f>AF71/AF72</f>
        <v>#DIV/0!</v>
      </c>
    </row>
    <row r="76" spans="32:33" x14ac:dyDescent="0.25">
      <c r="AF76" s="238" t="e">
        <f>AF72/AF73</f>
        <v>#DIV/0!</v>
      </c>
    </row>
    <row r="77" spans="32:33" x14ac:dyDescent="0.25">
      <c r="AF77" s="238"/>
    </row>
    <row r="78" spans="32:33" x14ac:dyDescent="0.25">
      <c r="AF78" s="238">
        <f>AF73*0.85</f>
        <v>0</v>
      </c>
      <c r="AG78" s="2" t="s">
        <v>47</v>
      </c>
    </row>
    <row r="79" spans="32:33" x14ac:dyDescent="0.25">
      <c r="AG79" s="2" t="s">
        <v>48</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U238"/>
  <sheetViews>
    <sheetView zoomScale="130" zoomScaleNormal="130" workbookViewId="0">
      <pane xSplit="2" ySplit="1" topLeftCell="I6" activePane="bottomRight" state="frozen"/>
      <selection pane="topRight" activeCell="C1" sqref="C1"/>
      <selection pane="bottomLeft" activeCell="A2" sqref="A2"/>
      <selection pane="bottomRight" activeCell="L21" sqref="L21"/>
    </sheetView>
  </sheetViews>
  <sheetFormatPr defaultColWidth="9.140625" defaultRowHeight="15.75" x14ac:dyDescent="0.25"/>
  <cols>
    <col min="1" max="1" width="3.85546875" style="156" bestFit="1" customWidth="1"/>
    <col min="2" max="2" width="50.7109375" style="156" bestFit="1" customWidth="1"/>
    <col min="3" max="3" width="19.28515625" style="156" customWidth="1"/>
    <col min="4" max="4" width="24.85546875" style="156" bestFit="1" customWidth="1"/>
    <col min="5" max="5" width="24.85546875" style="156" customWidth="1"/>
    <col min="6" max="6" width="26.28515625" style="169" customWidth="1"/>
    <col min="7" max="7" width="22" style="156" customWidth="1"/>
    <col min="8" max="8" width="15.140625" style="169" customWidth="1"/>
    <col min="9" max="11" width="10.42578125" style="169" customWidth="1"/>
    <col min="12" max="12" width="16.42578125" style="169" customWidth="1"/>
    <col min="13" max="13" width="19.42578125" style="169" customWidth="1"/>
    <col min="14" max="15" width="16.42578125" style="169" customWidth="1"/>
    <col min="16" max="16" width="24.85546875" style="156" customWidth="1"/>
    <col min="17" max="17" width="14" style="169" customWidth="1"/>
    <col min="18" max="18" width="35.42578125" style="156" customWidth="1"/>
    <col min="19" max="19" width="8.28515625" style="169" customWidth="1"/>
    <col min="20" max="20" width="27.85546875" style="156" customWidth="1"/>
    <col min="21" max="21" width="7.5703125" style="169" customWidth="1"/>
    <col min="22" max="22" width="18.42578125" style="156" customWidth="1"/>
    <col min="23" max="23" width="15" style="169" customWidth="1"/>
    <col min="24" max="24" width="16.7109375" style="156" customWidth="1"/>
    <col min="25" max="25" width="15.28515625" style="169" customWidth="1"/>
    <col min="26" max="26" width="13.7109375" style="156" bestFit="1" customWidth="1"/>
    <col min="27" max="27" width="7.42578125" style="169" customWidth="1"/>
    <col min="28" max="28" width="19.42578125" style="156" customWidth="1"/>
    <col min="29" max="29" width="9.85546875" style="169" customWidth="1"/>
    <col min="30" max="30" width="13.7109375" style="156" bestFit="1" customWidth="1"/>
    <col min="31" max="31" width="6.5703125" style="169" customWidth="1"/>
    <col min="32" max="32" width="13.7109375" style="156" bestFit="1" customWidth="1"/>
    <col min="33" max="33" width="7.7109375" style="169" customWidth="1"/>
    <col min="34" max="34" width="9.140625" style="156" customWidth="1"/>
    <col min="35" max="16384" width="9.140625" style="156"/>
  </cols>
  <sheetData>
    <row r="1" spans="1:47" x14ac:dyDescent="0.25">
      <c r="A1" s="14" t="s">
        <v>78</v>
      </c>
      <c r="B1" s="14" t="s">
        <v>134</v>
      </c>
      <c r="C1" s="224" t="s">
        <v>2</v>
      </c>
      <c r="D1" s="224" t="s">
        <v>25</v>
      </c>
      <c r="E1" s="224"/>
      <c r="F1" s="267" t="s">
        <v>10</v>
      </c>
      <c r="G1" s="224" t="s">
        <v>26</v>
      </c>
      <c r="H1" s="267" t="s">
        <v>10</v>
      </c>
      <c r="I1" s="268" t="s">
        <v>281</v>
      </c>
      <c r="J1" s="147" t="s">
        <v>280</v>
      </c>
      <c r="K1" s="147" t="s">
        <v>283</v>
      </c>
      <c r="L1" s="147" t="s">
        <v>278</v>
      </c>
      <c r="M1" s="267" t="s">
        <v>10</v>
      </c>
      <c r="N1" s="224" t="s">
        <v>27</v>
      </c>
      <c r="O1" s="267" t="s">
        <v>10</v>
      </c>
      <c r="P1" s="224" t="s">
        <v>261</v>
      </c>
      <c r="Q1" s="267" t="s">
        <v>10</v>
      </c>
      <c r="R1" s="224" t="s">
        <v>262</v>
      </c>
      <c r="S1" s="267" t="s">
        <v>10</v>
      </c>
      <c r="T1" s="269" t="s">
        <v>263</v>
      </c>
      <c r="U1" s="270" t="s">
        <v>10</v>
      </c>
      <c r="V1" s="224" t="s">
        <v>29</v>
      </c>
      <c r="W1" s="267" t="s">
        <v>10</v>
      </c>
      <c r="X1" s="224" t="s">
        <v>30</v>
      </c>
      <c r="Y1" s="267" t="s">
        <v>10</v>
      </c>
      <c r="Z1" s="217" t="s">
        <v>31</v>
      </c>
      <c r="AA1" s="271" t="s">
        <v>10</v>
      </c>
      <c r="AB1" s="147" t="s">
        <v>265</v>
      </c>
      <c r="AC1" s="267" t="s">
        <v>10</v>
      </c>
      <c r="AD1" s="147" t="s">
        <v>33</v>
      </c>
      <c r="AE1" s="267" t="s">
        <v>10</v>
      </c>
      <c r="AF1" s="147" t="s">
        <v>34</v>
      </c>
      <c r="AG1" s="272" t="s">
        <v>10</v>
      </c>
      <c r="AH1" s="2"/>
      <c r="AI1" s="2"/>
      <c r="AJ1" s="2"/>
      <c r="AK1" s="2"/>
      <c r="AL1" s="2"/>
      <c r="AM1" s="2"/>
      <c r="AN1" s="2"/>
      <c r="AO1" s="2"/>
      <c r="AP1" s="2"/>
      <c r="AQ1" s="2"/>
      <c r="AR1" s="2"/>
      <c r="AS1" s="2"/>
      <c r="AT1" s="2"/>
      <c r="AU1" s="2"/>
    </row>
    <row r="2" spans="1:47" x14ac:dyDescent="0.25">
      <c r="A2" s="236">
        <v>1</v>
      </c>
      <c r="B2" s="209" t="s">
        <v>81</v>
      </c>
      <c r="C2" s="237">
        <v>1</v>
      </c>
      <c r="D2" s="229">
        <v>250000</v>
      </c>
      <c r="E2" s="229"/>
      <c r="F2" s="212" t="s">
        <v>260</v>
      </c>
      <c r="G2" s="213">
        <v>16000</v>
      </c>
      <c r="H2" s="214" t="s">
        <v>264</v>
      </c>
      <c r="I2" s="215" t="s">
        <v>8</v>
      </c>
      <c r="J2" s="215" t="s">
        <v>8</v>
      </c>
      <c r="K2" s="215" t="s">
        <v>8</v>
      </c>
      <c r="L2" s="215" t="s">
        <v>8</v>
      </c>
      <c r="M2" s="214" t="s">
        <v>289</v>
      </c>
      <c r="N2" s="213">
        <v>1200</v>
      </c>
      <c r="O2" s="212" t="s">
        <v>260</v>
      </c>
      <c r="P2" s="49">
        <v>0.97599999999999998</v>
      </c>
      <c r="Q2" s="214" t="s">
        <v>264</v>
      </c>
      <c r="R2" s="49">
        <v>0.11899999999999999</v>
      </c>
      <c r="S2" s="214" t="s">
        <v>264</v>
      </c>
      <c r="T2" s="49">
        <v>1.9E-3</v>
      </c>
      <c r="U2" s="214" t="s">
        <v>264</v>
      </c>
      <c r="V2" s="235">
        <v>3.0000000000000001E-3</v>
      </c>
      <c r="W2" s="214" t="s">
        <v>264</v>
      </c>
      <c r="X2" s="63">
        <v>2</v>
      </c>
      <c r="Y2" s="214" t="s">
        <v>264</v>
      </c>
      <c r="Z2" s="238">
        <v>1000</v>
      </c>
      <c r="AA2" s="239" t="s">
        <v>32</v>
      </c>
      <c r="AB2" s="240">
        <v>215</v>
      </c>
      <c r="AC2" s="212" t="s">
        <v>260</v>
      </c>
      <c r="AD2" s="63">
        <v>0.73</v>
      </c>
      <c r="AE2" s="214" t="s">
        <v>264</v>
      </c>
      <c r="AF2" s="63">
        <v>0.06</v>
      </c>
      <c r="AG2" s="214" t="s">
        <v>264</v>
      </c>
      <c r="AH2" s="2"/>
      <c r="AI2" s="2"/>
      <c r="AJ2" s="2"/>
      <c r="AK2" s="2"/>
      <c r="AL2" s="2"/>
      <c r="AM2" s="2"/>
      <c r="AN2" s="2"/>
      <c r="AO2" s="2"/>
      <c r="AP2" s="2"/>
      <c r="AQ2" s="2"/>
      <c r="AR2" s="2"/>
      <c r="AS2" s="2"/>
      <c r="AT2" s="2"/>
      <c r="AU2" s="2"/>
    </row>
    <row r="3" spans="1:47" ht="13.5" customHeight="1" x14ac:dyDescent="0.25">
      <c r="A3" s="157">
        <v>2</v>
      </c>
      <c r="B3" s="209" t="s">
        <v>49</v>
      </c>
      <c r="C3" s="158">
        <v>1</v>
      </c>
      <c r="D3" s="159">
        <f>150000</f>
        <v>150000</v>
      </c>
      <c r="E3" s="159"/>
      <c r="F3" s="640" t="s">
        <v>137</v>
      </c>
      <c r="G3" s="161">
        <v>12000</v>
      </c>
      <c r="H3" s="641" t="s">
        <v>264</v>
      </c>
      <c r="I3" s="639" t="s">
        <v>8</v>
      </c>
      <c r="J3" s="639" t="s">
        <v>8</v>
      </c>
      <c r="K3" s="639" t="s">
        <v>8</v>
      </c>
      <c r="L3" s="639" t="s">
        <v>8</v>
      </c>
      <c r="M3" s="163"/>
      <c r="N3" s="164">
        <v>666</v>
      </c>
      <c r="O3" s="165" t="s">
        <v>21</v>
      </c>
      <c r="P3" s="166">
        <v>0.97599999999999998</v>
      </c>
      <c r="Q3" s="162" t="s">
        <v>264</v>
      </c>
      <c r="R3" s="166">
        <v>0.11899999999999999</v>
      </c>
      <c r="S3" s="162" t="s">
        <v>264</v>
      </c>
      <c r="T3" s="166">
        <v>1.9E-3</v>
      </c>
      <c r="U3" s="162" t="s">
        <v>264</v>
      </c>
      <c r="V3" s="167">
        <v>7.0000000000000001E-3</v>
      </c>
      <c r="W3" s="162" t="s">
        <v>264</v>
      </c>
      <c r="X3" s="168">
        <v>2</v>
      </c>
      <c r="Y3" s="162" t="s">
        <v>264</v>
      </c>
      <c r="Z3" s="168">
        <v>1000</v>
      </c>
      <c r="AA3" s="160" t="s">
        <v>32</v>
      </c>
      <c r="AB3" s="168">
        <v>150</v>
      </c>
      <c r="AC3" s="160" t="s">
        <v>50</v>
      </c>
      <c r="AD3" s="168">
        <v>0.73</v>
      </c>
      <c r="AE3" s="162" t="s">
        <v>264</v>
      </c>
      <c r="AF3" s="168">
        <v>0.06</v>
      </c>
      <c r="AG3" s="214" t="s">
        <v>264</v>
      </c>
      <c r="AH3" s="2"/>
      <c r="AI3" s="2"/>
      <c r="AJ3" s="2"/>
      <c r="AK3" s="2"/>
      <c r="AL3" s="2"/>
      <c r="AM3" s="2"/>
      <c r="AN3" s="2"/>
      <c r="AO3" s="2"/>
      <c r="AP3" s="2"/>
      <c r="AQ3" s="2"/>
      <c r="AR3" s="2"/>
      <c r="AS3" s="2"/>
      <c r="AT3" s="2"/>
      <c r="AU3" s="2"/>
    </row>
    <row r="4" spans="1:47" ht="12.75" customHeight="1" x14ac:dyDescent="0.25">
      <c r="A4" s="157">
        <v>3</v>
      </c>
      <c r="B4" s="209" t="s">
        <v>490</v>
      </c>
      <c r="C4" s="241">
        <v>1</v>
      </c>
      <c r="D4" s="229">
        <v>75000</v>
      </c>
      <c r="E4" s="229"/>
      <c r="F4" s="212" t="s">
        <v>260</v>
      </c>
      <c r="G4" s="230">
        <v>1500</v>
      </c>
      <c r="H4" s="214" t="s">
        <v>264</v>
      </c>
      <c r="I4" s="147">
        <v>5</v>
      </c>
      <c r="J4" s="147">
        <v>20</v>
      </c>
      <c r="K4" s="147">
        <v>70</v>
      </c>
      <c r="L4" s="147">
        <f>(I4*J4*(K4/100))/8.25</f>
        <v>8.4848484848484844</v>
      </c>
      <c r="M4" s="214" t="s">
        <v>289</v>
      </c>
      <c r="N4" s="230">
        <v>236</v>
      </c>
      <c r="O4" s="212" t="s">
        <v>260</v>
      </c>
      <c r="P4" s="49">
        <v>0.88300000000000001</v>
      </c>
      <c r="Q4" s="233" t="s">
        <v>17</v>
      </c>
      <c r="R4" s="49">
        <v>7.8E-2</v>
      </c>
      <c r="S4" s="234" t="s">
        <v>17</v>
      </c>
      <c r="T4" s="49">
        <v>0</v>
      </c>
      <c r="U4" s="233" t="s">
        <v>17</v>
      </c>
      <c r="V4" s="235">
        <v>0.32</v>
      </c>
      <c r="W4" s="214" t="s">
        <v>17</v>
      </c>
      <c r="X4" s="63">
        <v>2.1</v>
      </c>
      <c r="Y4" s="212" t="s">
        <v>17</v>
      </c>
      <c r="Z4" s="63">
        <v>1000</v>
      </c>
      <c r="AA4" s="212" t="s">
        <v>17</v>
      </c>
      <c r="AB4" s="63">
        <v>0</v>
      </c>
      <c r="AC4" s="212" t="s">
        <v>8</v>
      </c>
      <c r="AD4" s="63">
        <v>0</v>
      </c>
      <c r="AE4" s="212" t="s">
        <v>8</v>
      </c>
      <c r="AF4" s="63">
        <v>0</v>
      </c>
      <c r="AG4" s="222" t="s">
        <v>8</v>
      </c>
      <c r="AH4" s="2"/>
      <c r="AI4" s="2"/>
      <c r="AJ4" s="2"/>
      <c r="AK4" s="2"/>
      <c r="AL4" s="2"/>
      <c r="AM4" s="2"/>
      <c r="AN4" s="2"/>
      <c r="AO4" s="2"/>
      <c r="AP4" s="2"/>
      <c r="AQ4" s="2"/>
      <c r="AR4" s="2"/>
      <c r="AS4" s="2"/>
      <c r="AT4" s="2"/>
      <c r="AU4" s="2"/>
    </row>
    <row r="5" spans="1:47" ht="14.25" customHeight="1" x14ac:dyDescent="0.25">
      <c r="A5" s="157">
        <v>4</v>
      </c>
      <c r="B5" s="209" t="s">
        <v>284</v>
      </c>
      <c r="C5" s="240">
        <v>1</v>
      </c>
      <c r="D5" s="229">
        <v>250000</v>
      </c>
      <c r="E5" s="229"/>
      <c r="F5" s="212" t="s">
        <v>260</v>
      </c>
      <c r="G5" s="213">
        <v>1500</v>
      </c>
      <c r="H5" s="214" t="s">
        <v>264</v>
      </c>
      <c r="I5" s="147">
        <v>12</v>
      </c>
      <c r="J5" s="147">
        <v>90</v>
      </c>
      <c r="K5" s="147">
        <v>60</v>
      </c>
      <c r="L5" s="147">
        <f>(I5*J5*(K5/100))/8.25</f>
        <v>78.545454545454547</v>
      </c>
      <c r="M5" s="214" t="s">
        <v>289</v>
      </c>
      <c r="N5" s="230">
        <f>64</f>
        <v>64</v>
      </c>
      <c r="O5" s="212" t="s">
        <v>260</v>
      </c>
      <c r="P5" s="218">
        <v>0.94299999999999995</v>
      </c>
      <c r="Q5" s="214" t="s">
        <v>264</v>
      </c>
      <c r="R5" s="218">
        <v>0.111</v>
      </c>
      <c r="S5" s="214" t="s">
        <v>264</v>
      </c>
      <c r="T5" s="49">
        <v>0</v>
      </c>
      <c r="U5" s="214" t="s">
        <v>264</v>
      </c>
      <c r="V5" s="63">
        <v>0.41</v>
      </c>
      <c r="W5" s="214" t="s">
        <v>264</v>
      </c>
      <c r="X5" s="63">
        <v>1.3</v>
      </c>
      <c r="Y5" s="214" t="s">
        <v>264</v>
      </c>
      <c r="Z5" s="63">
        <v>1000</v>
      </c>
      <c r="AA5" s="212" t="s">
        <v>17</v>
      </c>
      <c r="AB5" s="63">
        <v>200</v>
      </c>
      <c r="AC5" s="212" t="s">
        <v>260</v>
      </c>
      <c r="AD5" s="63">
        <v>0.73</v>
      </c>
      <c r="AE5" s="214" t="s">
        <v>264</v>
      </c>
      <c r="AF5" s="63">
        <v>0.06</v>
      </c>
      <c r="AG5" s="214" t="s">
        <v>264</v>
      </c>
      <c r="AH5" s="2"/>
      <c r="AI5" s="2"/>
      <c r="AJ5" s="2"/>
      <c r="AK5" s="2"/>
      <c r="AL5" s="2"/>
      <c r="AM5" s="2"/>
      <c r="AN5" s="2"/>
      <c r="AO5" s="2"/>
      <c r="AP5" s="2"/>
      <c r="AQ5" s="2"/>
      <c r="AR5" s="2"/>
      <c r="AS5" s="2"/>
      <c r="AT5" s="2"/>
      <c r="AU5" s="2"/>
    </row>
    <row r="6" spans="1:47" x14ac:dyDescent="0.25">
      <c r="A6" s="157">
        <v>5</v>
      </c>
      <c r="B6" s="209" t="s">
        <v>378</v>
      </c>
      <c r="C6" s="240">
        <v>1</v>
      </c>
      <c r="D6" s="242">
        <v>40000</v>
      </c>
      <c r="E6" s="29"/>
      <c r="F6" s="212" t="s">
        <v>377</v>
      </c>
      <c r="G6" s="231">
        <v>2000</v>
      </c>
      <c r="H6" s="214" t="s">
        <v>264</v>
      </c>
      <c r="I6" s="232">
        <v>7</v>
      </c>
      <c r="J6" s="232">
        <v>15</v>
      </c>
      <c r="K6" s="232">
        <v>80</v>
      </c>
      <c r="L6" s="147">
        <f>(I6*J6*(K6/100))/8.25</f>
        <v>10.181818181818182</v>
      </c>
      <c r="M6" s="214" t="s">
        <v>289</v>
      </c>
      <c r="N6" s="230">
        <v>157</v>
      </c>
      <c r="O6" s="212" t="s">
        <v>260</v>
      </c>
      <c r="P6" s="49">
        <v>0.75600000000000001</v>
      </c>
      <c r="Q6" s="212" t="s">
        <v>17</v>
      </c>
      <c r="R6" s="49">
        <v>6.7000000000000004E-2</v>
      </c>
      <c r="S6" s="212" t="s">
        <v>17</v>
      </c>
      <c r="T6" s="49">
        <v>0</v>
      </c>
      <c r="U6" s="212" t="s">
        <v>17</v>
      </c>
      <c r="V6" s="63">
        <v>0.44</v>
      </c>
      <c r="W6" s="212" t="s">
        <v>17</v>
      </c>
      <c r="X6" s="63">
        <v>2</v>
      </c>
      <c r="Y6" s="212" t="s">
        <v>17</v>
      </c>
      <c r="Z6" s="63">
        <v>1000</v>
      </c>
      <c r="AA6" s="212" t="s">
        <v>17</v>
      </c>
      <c r="AB6" s="63">
        <v>0</v>
      </c>
      <c r="AC6" s="212" t="s">
        <v>8</v>
      </c>
      <c r="AD6" s="63">
        <v>0</v>
      </c>
      <c r="AE6" s="212" t="s">
        <v>8</v>
      </c>
      <c r="AF6" s="63">
        <v>0</v>
      </c>
      <c r="AG6" s="222" t="s">
        <v>8</v>
      </c>
      <c r="AH6" s="2"/>
      <c r="AI6" s="2"/>
      <c r="AJ6" s="2"/>
      <c r="AK6" s="2"/>
      <c r="AL6" s="2"/>
      <c r="AM6" s="2"/>
      <c r="AN6" s="2"/>
      <c r="AO6" s="2"/>
      <c r="AP6" s="2"/>
      <c r="AQ6" s="2"/>
      <c r="AR6" s="2"/>
      <c r="AS6" s="2"/>
      <c r="AT6" s="2"/>
      <c r="AU6" s="2"/>
    </row>
    <row r="7" spans="1:47" ht="16.5" customHeight="1" x14ac:dyDescent="0.25">
      <c r="A7" s="157">
        <v>6</v>
      </c>
      <c r="B7" s="209" t="s">
        <v>71</v>
      </c>
      <c r="C7" s="170">
        <v>1</v>
      </c>
      <c r="D7" s="171">
        <f>6500</f>
        <v>6500</v>
      </c>
      <c r="E7" s="171"/>
      <c r="F7" s="168" t="s">
        <v>138</v>
      </c>
      <c r="G7" s="172">
        <v>2000</v>
      </c>
      <c r="H7" s="635" t="s">
        <v>17</v>
      </c>
      <c r="I7" s="632"/>
      <c r="J7" s="632"/>
      <c r="K7" s="632"/>
      <c r="L7" s="632"/>
      <c r="M7" s="173"/>
      <c r="N7" s="174">
        <v>325</v>
      </c>
      <c r="O7" s="173" t="s">
        <v>28</v>
      </c>
      <c r="P7" s="166">
        <v>0.75600000000000001</v>
      </c>
      <c r="Q7" s="640" t="s">
        <v>17</v>
      </c>
      <c r="R7" s="166">
        <v>6.7000000000000004E-2</v>
      </c>
      <c r="S7" s="640" t="s">
        <v>17</v>
      </c>
      <c r="T7" s="166">
        <v>0</v>
      </c>
      <c r="U7" s="640" t="s">
        <v>17</v>
      </c>
      <c r="V7" s="168">
        <v>0.46</v>
      </c>
      <c r="W7" s="640" t="s">
        <v>17</v>
      </c>
      <c r="X7" s="168">
        <v>1.7</v>
      </c>
      <c r="Y7" s="640" t="s">
        <v>17</v>
      </c>
      <c r="Z7" s="175">
        <v>1000</v>
      </c>
      <c r="AA7" s="640" t="s">
        <v>17</v>
      </c>
      <c r="AB7" s="649">
        <v>0</v>
      </c>
      <c r="AC7" s="650" t="s">
        <v>8</v>
      </c>
      <c r="AD7" s="649">
        <v>0</v>
      </c>
      <c r="AE7" s="650" t="s">
        <v>8</v>
      </c>
      <c r="AF7" s="649">
        <v>0</v>
      </c>
      <c r="AG7" s="653" t="s">
        <v>8</v>
      </c>
      <c r="AH7" s="654"/>
      <c r="AI7" s="654"/>
      <c r="AJ7" s="654"/>
      <c r="AK7" s="654"/>
      <c r="AL7" s="654"/>
      <c r="AM7" s="2"/>
      <c r="AN7" s="2"/>
      <c r="AO7" s="2"/>
      <c r="AP7" s="2"/>
      <c r="AQ7" s="2"/>
      <c r="AR7" s="2"/>
      <c r="AS7" s="2"/>
      <c r="AT7" s="2"/>
      <c r="AU7" s="2"/>
    </row>
    <row r="8" spans="1:47" ht="15.75" customHeight="1" x14ac:dyDescent="0.25">
      <c r="A8" s="157">
        <v>7</v>
      </c>
      <c r="B8" s="209" t="s">
        <v>22</v>
      </c>
      <c r="C8" s="170">
        <v>1</v>
      </c>
      <c r="D8" s="171">
        <f>3000</f>
        <v>3000</v>
      </c>
      <c r="E8" s="171"/>
      <c r="F8" s="168" t="s">
        <v>139</v>
      </c>
      <c r="G8" s="172">
        <v>2500</v>
      </c>
      <c r="H8" s="635" t="s">
        <v>17</v>
      </c>
      <c r="I8" s="632"/>
      <c r="J8" s="632"/>
      <c r="K8" s="632"/>
      <c r="L8" s="632"/>
      <c r="M8" s="173"/>
      <c r="N8" s="174">
        <v>325</v>
      </c>
      <c r="O8" s="173" t="s">
        <v>28</v>
      </c>
      <c r="P8" s="166">
        <v>0.75600000000000001</v>
      </c>
      <c r="Q8" s="640" t="s">
        <v>17</v>
      </c>
      <c r="R8" s="166">
        <v>6.7000000000000004E-2</v>
      </c>
      <c r="S8" s="640" t="s">
        <v>17</v>
      </c>
      <c r="T8" s="166">
        <v>0</v>
      </c>
      <c r="U8" s="640" t="s">
        <v>17</v>
      </c>
      <c r="V8" s="168">
        <v>0.17</v>
      </c>
      <c r="W8" s="640" t="s">
        <v>17</v>
      </c>
      <c r="X8" s="168">
        <v>1.4</v>
      </c>
      <c r="Y8" s="640" t="s">
        <v>17</v>
      </c>
      <c r="Z8" s="175">
        <v>1000</v>
      </c>
      <c r="AA8" s="640" t="s">
        <v>17</v>
      </c>
      <c r="AB8" s="649">
        <v>0</v>
      </c>
      <c r="AC8" s="650" t="s">
        <v>8</v>
      </c>
      <c r="AD8" s="649">
        <v>0</v>
      </c>
      <c r="AE8" s="650" t="s">
        <v>8</v>
      </c>
      <c r="AF8" s="649">
        <v>0</v>
      </c>
      <c r="AG8" s="653" t="s">
        <v>8</v>
      </c>
      <c r="AH8" s="654"/>
      <c r="AI8" s="654"/>
      <c r="AJ8" s="654"/>
      <c r="AK8" s="654"/>
      <c r="AL8" s="654"/>
      <c r="AM8" s="2"/>
      <c r="AN8" s="2"/>
      <c r="AO8" s="2"/>
      <c r="AP8" s="2"/>
      <c r="AQ8" s="2"/>
      <c r="AR8" s="2"/>
      <c r="AS8" s="2"/>
      <c r="AT8" s="2"/>
      <c r="AU8" s="2"/>
    </row>
    <row r="9" spans="1:47" ht="15.75" customHeight="1" x14ac:dyDescent="0.25">
      <c r="A9" s="157">
        <v>8</v>
      </c>
      <c r="B9" s="209" t="s">
        <v>68</v>
      </c>
      <c r="C9" s="170">
        <v>1</v>
      </c>
      <c r="D9" s="176">
        <f>87700</f>
        <v>87700</v>
      </c>
      <c r="E9" s="176"/>
      <c r="F9" s="168" t="s">
        <v>142</v>
      </c>
      <c r="G9" s="164">
        <v>3000</v>
      </c>
      <c r="H9" s="635" t="s">
        <v>17</v>
      </c>
      <c r="I9" s="632"/>
      <c r="J9" s="632"/>
      <c r="K9" s="632"/>
      <c r="L9" s="632"/>
      <c r="M9" s="173"/>
      <c r="N9" s="170">
        <v>325</v>
      </c>
      <c r="O9" s="173" t="s">
        <v>28</v>
      </c>
      <c r="P9" s="166">
        <v>0.85209999999999997</v>
      </c>
      <c r="Q9" s="640" t="s">
        <v>17</v>
      </c>
      <c r="R9" s="166">
        <v>0.1014</v>
      </c>
      <c r="S9" s="640" t="s">
        <v>17</v>
      </c>
      <c r="T9" s="642">
        <v>0</v>
      </c>
      <c r="U9" s="640" t="s">
        <v>17</v>
      </c>
      <c r="V9" s="168">
        <v>0.1</v>
      </c>
      <c r="W9" s="640" t="s">
        <v>17</v>
      </c>
      <c r="X9" s="168">
        <v>1.8</v>
      </c>
      <c r="Y9" s="640" t="s">
        <v>17</v>
      </c>
      <c r="Z9" s="175">
        <v>1000</v>
      </c>
      <c r="AA9" s="640" t="s">
        <v>17</v>
      </c>
      <c r="AB9" s="649">
        <v>0</v>
      </c>
      <c r="AC9" s="650" t="s">
        <v>8</v>
      </c>
      <c r="AD9" s="649">
        <v>0</v>
      </c>
      <c r="AE9" s="650" t="s">
        <v>8</v>
      </c>
      <c r="AF9" s="649">
        <v>0</v>
      </c>
      <c r="AG9" s="653" t="s">
        <v>8</v>
      </c>
      <c r="AH9" s="654"/>
      <c r="AI9" s="654"/>
      <c r="AJ9" s="654"/>
      <c r="AK9" s="654"/>
      <c r="AL9" s="654"/>
      <c r="AM9" s="2"/>
      <c r="AN9" s="2"/>
      <c r="AO9" s="2"/>
      <c r="AP9" s="2"/>
      <c r="AQ9" s="2"/>
      <c r="AR9" s="2"/>
      <c r="AS9" s="2"/>
      <c r="AT9" s="2"/>
      <c r="AU9" s="2"/>
    </row>
    <row r="10" spans="1:47" ht="17.25" customHeight="1" x14ac:dyDescent="0.25">
      <c r="A10" s="157">
        <v>9</v>
      </c>
      <c r="B10" s="209" t="s">
        <v>23</v>
      </c>
      <c r="C10" s="170">
        <v>1</v>
      </c>
      <c r="D10" s="171">
        <f>7500</f>
        <v>7500</v>
      </c>
      <c r="E10" s="171"/>
      <c r="F10" s="168" t="s">
        <v>139</v>
      </c>
      <c r="G10" s="172">
        <v>1000</v>
      </c>
      <c r="H10" s="635" t="s">
        <v>17</v>
      </c>
      <c r="I10" s="632"/>
      <c r="J10" s="632"/>
      <c r="K10" s="632"/>
      <c r="L10" s="632"/>
      <c r="M10" s="173"/>
      <c r="N10" s="174">
        <f>325+100</f>
        <v>425</v>
      </c>
      <c r="O10" s="173" t="s">
        <v>28</v>
      </c>
      <c r="P10" s="179">
        <v>0.78580000000000005</v>
      </c>
      <c r="Q10" s="640" t="s">
        <v>17</v>
      </c>
      <c r="R10" s="179">
        <v>6.2899999999999998E-2</v>
      </c>
      <c r="S10" s="640" t="s">
        <v>17</v>
      </c>
      <c r="T10" s="179">
        <v>3.3E-3</v>
      </c>
      <c r="U10" s="640" t="s">
        <v>17</v>
      </c>
      <c r="V10" s="168">
        <v>0.46</v>
      </c>
      <c r="W10" s="640" t="s">
        <v>17</v>
      </c>
      <c r="X10" s="168">
        <v>1.7</v>
      </c>
      <c r="Y10" s="640" t="s">
        <v>17</v>
      </c>
      <c r="Z10" s="175">
        <v>1000</v>
      </c>
      <c r="AA10" s="640" t="s">
        <v>17</v>
      </c>
      <c r="AB10" s="649">
        <v>0</v>
      </c>
      <c r="AC10" s="650" t="s">
        <v>8</v>
      </c>
      <c r="AD10" s="649">
        <v>0</v>
      </c>
      <c r="AE10" s="650" t="s">
        <v>8</v>
      </c>
      <c r="AF10" s="649">
        <v>0</v>
      </c>
      <c r="AG10" s="650" t="s">
        <v>8</v>
      </c>
      <c r="AH10" s="654"/>
      <c r="AI10" s="654"/>
      <c r="AJ10" s="654"/>
      <c r="AK10" s="654"/>
      <c r="AL10" s="654"/>
      <c r="AM10" s="2"/>
      <c r="AN10" s="2"/>
      <c r="AO10" s="2"/>
      <c r="AP10" s="2"/>
      <c r="AQ10" s="2"/>
      <c r="AR10" s="2"/>
      <c r="AS10" s="2"/>
      <c r="AT10" s="2"/>
      <c r="AU10" s="2"/>
    </row>
    <row r="11" spans="1:47" s="185" customFormat="1" ht="15" customHeight="1" x14ac:dyDescent="0.25">
      <c r="A11" s="157">
        <v>10</v>
      </c>
      <c r="B11" s="209" t="s">
        <v>53</v>
      </c>
      <c r="C11" s="180">
        <v>1</v>
      </c>
      <c r="D11" s="181">
        <f>25000</f>
        <v>25000</v>
      </c>
      <c r="E11" s="181"/>
      <c r="F11" s="168" t="s">
        <v>139</v>
      </c>
      <c r="G11" s="636">
        <v>12000</v>
      </c>
      <c r="H11" s="637" t="s">
        <v>82</v>
      </c>
      <c r="I11" s="633"/>
      <c r="J11" s="633"/>
      <c r="K11" s="633"/>
      <c r="L11" s="633"/>
      <c r="M11" s="182"/>
      <c r="N11" s="180">
        <v>300</v>
      </c>
      <c r="O11" s="182" t="s">
        <v>8</v>
      </c>
      <c r="P11" s="643">
        <v>0.316</v>
      </c>
      <c r="Q11" s="644" t="s">
        <v>8</v>
      </c>
      <c r="R11" s="643">
        <v>0</v>
      </c>
      <c r="S11" s="644" t="s">
        <v>8</v>
      </c>
      <c r="T11" s="645">
        <v>0</v>
      </c>
      <c r="U11" s="646" t="s">
        <v>8</v>
      </c>
      <c r="V11" s="184">
        <v>0</v>
      </c>
      <c r="W11" s="647" t="s">
        <v>8</v>
      </c>
      <c r="X11" s="184">
        <v>0</v>
      </c>
      <c r="Y11" s="647" t="s">
        <v>8</v>
      </c>
      <c r="Z11" s="183">
        <v>100</v>
      </c>
      <c r="AA11" s="648"/>
      <c r="AB11" s="651">
        <v>1</v>
      </c>
      <c r="AC11" s="652" t="s">
        <v>8</v>
      </c>
      <c r="AD11" s="651">
        <v>1</v>
      </c>
      <c r="AE11" s="652" t="s">
        <v>8</v>
      </c>
      <c r="AF11" s="651">
        <v>2</v>
      </c>
      <c r="AG11" s="655" t="s">
        <v>8</v>
      </c>
      <c r="AH11" s="656"/>
      <c r="AI11" s="656"/>
      <c r="AJ11" s="656"/>
      <c r="AK11" s="656"/>
      <c r="AL11" s="656"/>
      <c r="AM11" s="129"/>
      <c r="AN11" s="129"/>
      <c r="AO11" s="129"/>
      <c r="AP11" s="129"/>
      <c r="AQ11" s="129"/>
      <c r="AR11" s="129"/>
      <c r="AS11" s="129"/>
      <c r="AT11" s="129"/>
      <c r="AU11" s="129"/>
    </row>
    <row r="12" spans="1:47" s="185" customFormat="1" ht="16.5" customHeight="1" x14ac:dyDescent="0.25">
      <c r="A12" s="157">
        <v>11</v>
      </c>
      <c r="B12" s="209" t="s">
        <v>282</v>
      </c>
      <c r="C12" s="186">
        <v>1</v>
      </c>
      <c r="D12" s="187">
        <f>120000*(111.19/105.93)</f>
        <v>125958.65193996033</v>
      </c>
      <c r="E12" s="188"/>
      <c r="F12" s="189" t="s">
        <v>8</v>
      </c>
      <c r="G12" s="190">
        <v>22000</v>
      </c>
      <c r="H12" s="191" t="s">
        <v>64</v>
      </c>
      <c r="I12" s="192"/>
      <c r="J12" s="192"/>
      <c r="K12" s="192"/>
      <c r="L12" s="192"/>
      <c r="M12" s="193"/>
      <c r="N12" s="190">
        <v>1000</v>
      </c>
      <c r="O12" s="194" t="s">
        <v>65</v>
      </c>
      <c r="P12" s="195">
        <v>0.97560000000000002</v>
      </c>
      <c r="Q12" s="196" t="s">
        <v>8</v>
      </c>
      <c r="R12" s="195">
        <v>0.1187</v>
      </c>
      <c r="S12" s="196" t="s">
        <v>8</v>
      </c>
      <c r="T12" s="195">
        <v>1.9E-3</v>
      </c>
      <c r="U12" s="196" t="s">
        <v>8</v>
      </c>
      <c r="V12" s="197">
        <v>7.0000000000000001E-3</v>
      </c>
      <c r="W12" s="198" t="s">
        <v>8</v>
      </c>
      <c r="X12" s="186">
        <v>2</v>
      </c>
      <c r="Y12" s="199" t="s">
        <v>8</v>
      </c>
      <c r="Z12" s="200">
        <v>1000</v>
      </c>
      <c r="AA12" s="201" t="s">
        <v>17</v>
      </c>
      <c r="AB12" s="202">
        <v>505</v>
      </c>
      <c r="AC12" s="203" t="s">
        <v>8</v>
      </c>
      <c r="AD12" s="200">
        <v>0.73</v>
      </c>
      <c r="AE12" s="189" t="s">
        <v>17</v>
      </c>
      <c r="AF12" s="200">
        <v>0.06</v>
      </c>
      <c r="AG12" s="214" t="s">
        <v>264</v>
      </c>
      <c r="AH12" s="129"/>
      <c r="AI12" s="129"/>
      <c r="AJ12" s="129"/>
      <c r="AK12" s="129"/>
      <c r="AL12" s="129"/>
      <c r="AM12" s="129"/>
      <c r="AN12" s="129"/>
      <c r="AO12" s="129"/>
      <c r="AP12" s="129"/>
      <c r="AQ12" s="129"/>
      <c r="AR12" s="129"/>
      <c r="AS12" s="129"/>
      <c r="AT12" s="129"/>
      <c r="AU12" s="129"/>
    </row>
    <row r="13" spans="1:47" x14ac:dyDescent="0.25">
      <c r="A13" s="204">
        <v>12</v>
      </c>
      <c r="B13" s="209" t="s">
        <v>98</v>
      </c>
      <c r="C13" s="179">
        <v>1</v>
      </c>
      <c r="D13" s="159">
        <v>2550</v>
      </c>
      <c r="E13" s="159"/>
      <c r="F13" s="640" t="s">
        <v>8</v>
      </c>
      <c r="G13" s="179">
        <v>3000</v>
      </c>
      <c r="H13" s="638" t="s">
        <v>8</v>
      </c>
      <c r="I13" s="634"/>
      <c r="J13" s="634"/>
      <c r="K13" s="634"/>
      <c r="L13" s="634"/>
      <c r="M13" s="205"/>
      <c r="N13" s="179">
        <v>300</v>
      </c>
      <c r="O13" s="205" t="s">
        <v>8</v>
      </c>
      <c r="P13" s="206" t="s">
        <v>8</v>
      </c>
      <c r="Q13" s="657" t="s">
        <v>8</v>
      </c>
      <c r="R13" s="206" t="s">
        <v>8</v>
      </c>
      <c r="S13" s="657" t="s">
        <v>8</v>
      </c>
      <c r="T13" s="206" t="s">
        <v>8</v>
      </c>
      <c r="U13" s="657" t="s">
        <v>8</v>
      </c>
      <c r="V13" s="207">
        <v>0.8</v>
      </c>
      <c r="W13" s="657" t="s">
        <v>8</v>
      </c>
      <c r="X13" s="206" t="s">
        <v>8</v>
      </c>
      <c r="Y13" s="657" t="s">
        <v>8</v>
      </c>
      <c r="Z13" s="208" t="s">
        <v>8</v>
      </c>
      <c r="AA13" s="657" t="s">
        <v>8</v>
      </c>
      <c r="AB13" s="206" t="s">
        <v>8</v>
      </c>
      <c r="AC13" s="657" t="s">
        <v>8</v>
      </c>
      <c r="AD13" s="206" t="s">
        <v>8</v>
      </c>
      <c r="AE13" s="657" t="s">
        <v>8</v>
      </c>
      <c r="AF13" s="206" t="s">
        <v>8</v>
      </c>
      <c r="AG13" s="657" t="s">
        <v>8</v>
      </c>
      <c r="AH13" s="179"/>
      <c r="AI13" s="179"/>
      <c r="AJ13" s="179"/>
      <c r="AK13" s="179"/>
      <c r="AL13" s="179"/>
      <c r="AM13" s="2"/>
      <c r="AN13" s="2"/>
      <c r="AO13" s="2"/>
      <c r="AP13" s="2"/>
      <c r="AQ13" s="2"/>
      <c r="AR13" s="2"/>
      <c r="AS13" s="2"/>
      <c r="AT13" s="2"/>
      <c r="AU13" s="2"/>
    </row>
    <row r="14" spans="1:47" x14ac:dyDescent="0.25">
      <c r="A14" s="15">
        <v>13</v>
      </c>
      <c r="B14" s="210" t="s">
        <v>489</v>
      </c>
      <c r="C14" s="2">
        <v>1</v>
      </c>
      <c r="D14" s="211">
        <v>300000</v>
      </c>
      <c r="E14" s="211"/>
      <c r="F14" s="212" t="s">
        <v>260</v>
      </c>
      <c r="G14" s="213">
        <v>3000</v>
      </c>
      <c r="H14" s="214" t="s">
        <v>264</v>
      </c>
      <c r="I14" s="215" t="s">
        <v>8</v>
      </c>
      <c r="J14" s="215" t="s">
        <v>8</v>
      </c>
      <c r="K14" s="215" t="s">
        <v>8</v>
      </c>
      <c r="L14" s="215" t="s">
        <v>8</v>
      </c>
      <c r="M14" s="216"/>
      <c r="N14" s="217">
        <f>262+196</f>
        <v>458</v>
      </c>
      <c r="O14" s="212" t="s">
        <v>260</v>
      </c>
      <c r="P14" s="218">
        <v>1.1319999999999999</v>
      </c>
      <c r="Q14" s="214" t="s">
        <v>264</v>
      </c>
      <c r="R14" s="218">
        <v>0.16500000000000001</v>
      </c>
      <c r="S14" s="214" t="s">
        <v>264</v>
      </c>
      <c r="T14" s="218">
        <v>7.9000000000000008E-3</v>
      </c>
      <c r="U14" s="214" t="s">
        <v>264</v>
      </c>
      <c r="V14" s="219">
        <v>0.04</v>
      </c>
      <c r="W14" s="214" t="s">
        <v>264</v>
      </c>
      <c r="X14" s="147">
        <v>2.1</v>
      </c>
      <c r="Y14" s="214" t="s">
        <v>264</v>
      </c>
      <c r="Z14" s="220">
        <v>1000</v>
      </c>
      <c r="AA14" s="216" t="s">
        <v>229</v>
      </c>
      <c r="AB14" s="221">
        <v>450</v>
      </c>
      <c r="AC14" s="212" t="s">
        <v>260</v>
      </c>
      <c r="AD14" s="63">
        <v>0.73</v>
      </c>
      <c r="AE14" s="222" t="s">
        <v>8</v>
      </c>
      <c r="AF14" s="63">
        <v>0.06</v>
      </c>
      <c r="AG14" s="222" t="s">
        <v>8</v>
      </c>
      <c r="AH14" s="2"/>
      <c r="AI14" s="2"/>
      <c r="AJ14" s="2"/>
      <c r="AK14" s="2"/>
      <c r="AL14" s="2"/>
      <c r="AM14" s="2"/>
      <c r="AN14" s="2"/>
      <c r="AO14" s="2"/>
      <c r="AP14" s="2"/>
      <c r="AQ14" s="2"/>
      <c r="AR14" s="2"/>
      <c r="AS14" s="2"/>
      <c r="AT14" s="2"/>
      <c r="AU14" s="2"/>
    </row>
    <row r="15" spans="1:47" x14ac:dyDescent="0.25">
      <c r="A15" s="15">
        <v>14</v>
      </c>
      <c r="B15" s="2" t="s">
        <v>232</v>
      </c>
      <c r="C15" s="2">
        <v>1</v>
      </c>
      <c r="D15" s="211">
        <v>35000</v>
      </c>
      <c r="E15" s="211"/>
      <c r="F15" s="212" t="s">
        <v>260</v>
      </c>
      <c r="G15" s="213">
        <v>1500</v>
      </c>
      <c r="H15" s="214" t="s">
        <v>264</v>
      </c>
      <c r="I15" s="147">
        <v>4</v>
      </c>
      <c r="J15" s="147">
        <v>30</v>
      </c>
      <c r="K15" s="147">
        <v>70</v>
      </c>
      <c r="L15" s="147">
        <f>(I15*J15*(K15/100))/8.25</f>
        <v>10.181818181818182</v>
      </c>
      <c r="M15" s="214" t="s">
        <v>289</v>
      </c>
      <c r="N15" s="217">
        <v>196</v>
      </c>
      <c r="O15" s="212" t="s">
        <v>260</v>
      </c>
      <c r="P15" s="218">
        <v>1.1319999999999999</v>
      </c>
      <c r="Q15" s="214" t="s">
        <v>264</v>
      </c>
      <c r="R15" s="218">
        <v>0.16500000000000001</v>
      </c>
      <c r="S15" s="214" t="s">
        <v>264</v>
      </c>
      <c r="T15" s="218">
        <v>7.9000000000000008E-3</v>
      </c>
      <c r="U15" s="214" t="s">
        <v>264</v>
      </c>
      <c r="V15" s="223">
        <v>0.04</v>
      </c>
      <c r="W15" s="214" t="s">
        <v>264</v>
      </c>
      <c r="X15" s="224">
        <v>2.1</v>
      </c>
      <c r="Y15" s="214" t="s">
        <v>264</v>
      </c>
      <c r="Z15" s="220">
        <v>1000</v>
      </c>
      <c r="AA15" s="216" t="s">
        <v>230</v>
      </c>
      <c r="AB15" s="225" t="s">
        <v>231</v>
      </c>
      <c r="AC15" s="222" t="s">
        <v>8</v>
      </c>
      <c r="AD15" s="225" t="s">
        <v>231</v>
      </c>
      <c r="AE15" s="222" t="s">
        <v>8</v>
      </c>
      <c r="AF15" s="225" t="s">
        <v>231</v>
      </c>
      <c r="AG15" s="222" t="s">
        <v>8</v>
      </c>
      <c r="AH15" s="2"/>
      <c r="AI15" s="2"/>
      <c r="AJ15" s="2"/>
      <c r="AK15" s="2"/>
      <c r="AL15" s="2"/>
      <c r="AM15" s="2"/>
      <c r="AN15" s="2"/>
      <c r="AO15" s="2"/>
      <c r="AP15" s="2"/>
      <c r="AQ15" s="2"/>
      <c r="AR15" s="2"/>
      <c r="AS15" s="2"/>
      <c r="AT15" s="2"/>
      <c r="AU15" s="2"/>
    </row>
    <row r="16" spans="1:47" x14ac:dyDescent="0.25">
      <c r="A16" s="15">
        <v>15</v>
      </c>
      <c r="B16" s="2" t="s">
        <v>235</v>
      </c>
      <c r="C16" s="2">
        <v>1</v>
      </c>
      <c r="D16" s="211">
        <v>35000</v>
      </c>
      <c r="E16" s="211"/>
      <c r="F16" s="212" t="s">
        <v>260</v>
      </c>
      <c r="G16" s="217">
        <v>3000</v>
      </c>
      <c r="H16" s="214" t="s">
        <v>264</v>
      </c>
      <c r="I16" s="215" t="s">
        <v>8</v>
      </c>
      <c r="J16" s="215" t="s">
        <v>8</v>
      </c>
      <c r="K16" s="215" t="s">
        <v>8</v>
      </c>
      <c r="L16" s="215" t="s">
        <v>8</v>
      </c>
      <c r="M16" s="216" t="s">
        <v>285</v>
      </c>
      <c r="N16" s="217">
        <f>262+196</f>
        <v>458</v>
      </c>
      <c r="O16" s="212" t="s">
        <v>260</v>
      </c>
      <c r="P16" s="226">
        <v>0.94299999999999995</v>
      </c>
      <c r="Q16" s="214" t="s">
        <v>264</v>
      </c>
      <c r="R16" s="226">
        <v>0.111</v>
      </c>
      <c r="S16" s="214" t="s">
        <v>264</v>
      </c>
      <c r="T16" s="227">
        <v>0</v>
      </c>
      <c r="U16" s="214" t="s">
        <v>264</v>
      </c>
      <c r="V16" s="223">
        <v>0.19</v>
      </c>
      <c r="W16" s="214" t="s">
        <v>264</v>
      </c>
      <c r="X16" s="224">
        <v>1.3</v>
      </c>
      <c r="Y16" s="214" t="s">
        <v>264</v>
      </c>
      <c r="Z16" s="220">
        <v>1000</v>
      </c>
      <c r="AA16" s="216" t="s">
        <v>230</v>
      </c>
      <c r="AB16" s="225" t="s">
        <v>231</v>
      </c>
      <c r="AC16" s="222" t="s">
        <v>8</v>
      </c>
      <c r="AD16" s="225" t="s">
        <v>231</v>
      </c>
      <c r="AE16" s="222" t="s">
        <v>8</v>
      </c>
      <c r="AF16" s="225" t="s">
        <v>231</v>
      </c>
      <c r="AG16" s="222" t="s">
        <v>8</v>
      </c>
      <c r="AH16" s="2"/>
      <c r="AI16" s="2"/>
      <c r="AJ16" s="2"/>
      <c r="AK16" s="2"/>
      <c r="AL16" s="2"/>
      <c r="AM16" s="2"/>
      <c r="AN16" s="2"/>
      <c r="AO16" s="2"/>
      <c r="AP16" s="2"/>
      <c r="AQ16" s="2"/>
      <c r="AR16" s="2"/>
      <c r="AS16" s="2"/>
      <c r="AT16" s="2"/>
      <c r="AU16" s="2"/>
    </row>
    <row r="17" spans="1:47" x14ac:dyDescent="0.25">
      <c r="A17" s="15">
        <v>16</v>
      </c>
      <c r="B17" s="2" t="s">
        <v>277</v>
      </c>
      <c r="C17" s="2">
        <v>1</v>
      </c>
      <c r="D17" s="211">
        <v>20000</v>
      </c>
      <c r="E17" s="211"/>
      <c r="F17" s="212" t="s">
        <v>260</v>
      </c>
      <c r="G17" s="217">
        <v>1200</v>
      </c>
      <c r="H17" s="214" t="s">
        <v>264</v>
      </c>
      <c r="I17" s="147">
        <v>7</v>
      </c>
      <c r="J17" s="147">
        <v>25</v>
      </c>
      <c r="K17" s="147">
        <v>70</v>
      </c>
      <c r="L17" s="147">
        <f>(I17*J17*(K17/100))/8.25</f>
        <v>14.848484848484846</v>
      </c>
      <c r="M17" s="214" t="s">
        <v>289</v>
      </c>
      <c r="N17" s="217">
        <v>135</v>
      </c>
      <c r="O17" s="212" t="s">
        <v>260</v>
      </c>
      <c r="P17" s="226">
        <v>0.94299999999999995</v>
      </c>
      <c r="Q17" s="214" t="s">
        <v>264</v>
      </c>
      <c r="R17" s="226">
        <v>0.111</v>
      </c>
      <c r="S17" s="214" t="s">
        <v>264</v>
      </c>
      <c r="T17" s="227">
        <v>0</v>
      </c>
      <c r="U17" s="214" t="s">
        <v>264</v>
      </c>
      <c r="V17" s="223">
        <v>0.63</v>
      </c>
      <c r="W17" s="214" t="s">
        <v>264</v>
      </c>
      <c r="X17" s="224">
        <v>1.3</v>
      </c>
      <c r="Y17" s="214" t="s">
        <v>264</v>
      </c>
      <c r="Z17" s="220">
        <v>1000</v>
      </c>
      <c r="AA17" s="216" t="s">
        <v>230</v>
      </c>
      <c r="AB17" s="225" t="s">
        <v>231</v>
      </c>
      <c r="AC17" s="222" t="s">
        <v>8</v>
      </c>
      <c r="AD17" s="225" t="s">
        <v>231</v>
      </c>
      <c r="AE17" s="222" t="s">
        <v>8</v>
      </c>
      <c r="AF17" s="225" t="s">
        <v>231</v>
      </c>
      <c r="AG17" s="222" t="s">
        <v>8</v>
      </c>
      <c r="AH17" s="2"/>
      <c r="AI17" s="2"/>
      <c r="AJ17" s="2"/>
      <c r="AK17" s="2"/>
      <c r="AL17" s="2"/>
      <c r="AM17" s="2"/>
      <c r="AN17" s="2"/>
      <c r="AO17" s="2"/>
      <c r="AP17" s="2"/>
      <c r="AQ17" s="2"/>
      <c r="AR17" s="2"/>
      <c r="AS17" s="2"/>
      <c r="AT17" s="2"/>
      <c r="AU17" s="2"/>
    </row>
    <row r="18" spans="1:47" x14ac:dyDescent="0.25">
      <c r="A18" s="15">
        <v>17</v>
      </c>
      <c r="B18" s="2" t="s">
        <v>383</v>
      </c>
      <c r="C18" s="2">
        <v>1</v>
      </c>
      <c r="D18" s="211">
        <v>75000</v>
      </c>
      <c r="E18" s="211"/>
      <c r="F18" s="212" t="s">
        <v>377</v>
      </c>
      <c r="G18" s="217">
        <v>2000</v>
      </c>
      <c r="H18" s="214" t="s">
        <v>264</v>
      </c>
      <c r="I18" s="228">
        <v>4.5</v>
      </c>
      <c r="J18" s="228">
        <v>29</v>
      </c>
      <c r="K18" s="228">
        <v>85</v>
      </c>
      <c r="L18" s="147">
        <f>(I18*J18*(K18/100))/8.25</f>
        <v>13.445454545454545</v>
      </c>
      <c r="M18" s="214" t="s">
        <v>289</v>
      </c>
      <c r="N18" s="217">
        <v>149</v>
      </c>
      <c r="O18" s="212" t="s">
        <v>377</v>
      </c>
      <c r="P18" s="226">
        <v>0.89100000000000001</v>
      </c>
      <c r="Q18" s="214" t="s">
        <v>264</v>
      </c>
      <c r="R18" s="226">
        <v>0.11</v>
      </c>
      <c r="S18" s="214" t="s">
        <v>264</v>
      </c>
      <c r="T18" s="227">
        <v>0</v>
      </c>
      <c r="U18" s="214"/>
      <c r="V18" s="223">
        <v>0.18</v>
      </c>
      <c r="W18" s="214" t="s">
        <v>264</v>
      </c>
      <c r="X18" s="224">
        <v>1.7</v>
      </c>
      <c r="Y18" s="214" t="s">
        <v>264</v>
      </c>
      <c r="Z18" s="220">
        <v>1000</v>
      </c>
      <c r="AA18" s="216" t="s">
        <v>230</v>
      </c>
      <c r="AB18" s="225" t="s">
        <v>231</v>
      </c>
      <c r="AC18" s="222" t="s">
        <v>8</v>
      </c>
      <c r="AD18" s="225" t="s">
        <v>231</v>
      </c>
      <c r="AE18" s="222" t="s">
        <v>8</v>
      </c>
      <c r="AF18" s="225" t="s">
        <v>231</v>
      </c>
      <c r="AG18" s="222" t="s">
        <v>8</v>
      </c>
      <c r="AH18" s="2"/>
      <c r="AI18" s="2"/>
      <c r="AJ18" s="2"/>
      <c r="AK18" s="2"/>
      <c r="AL18" s="2"/>
      <c r="AM18" s="2"/>
      <c r="AN18" s="2"/>
      <c r="AO18" s="2"/>
      <c r="AP18" s="2"/>
      <c r="AQ18" s="2"/>
      <c r="AR18" s="2"/>
      <c r="AS18" s="2"/>
      <c r="AT18" s="2"/>
      <c r="AU18" s="2"/>
    </row>
    <row r="19" spans="1:47" x14ac:dyDescent="0.25">
      <c r="A19" s="2"/>
      <c r="B19" s="63"/>
      <c r="C19" s="2"/>
      <c r="D19" s="243"/>
      <c r="E19" s="216"/>
      <c r="F19" s="222"/>
      <c r="G19" s="2"/>
      <c r="H19" s="222"/>
      <c r="I19" s="222"/>
      <c r="J19" s="222"/>
      <c r="K19" s="222"/>
      <c r="L19" s="222"/>
      <c r="M19" s="222"/>
      <c r="N19" s="222">
        <f>HUL_Machine14</f>
        <v>1500</v>
      </c>
      <c r="O19" s="222"/>
      <c r="P19" s="2"/>
      <c r="Q19" s="222"/>
      <c r="R19" s="2"/>
      <c r="S19" s="222"/>
      <c r="T19" s="2"/>
      <c r="U19" s="222"/>
      <c r="V19" s="2"/>
      <c r="W19" s="222"/>
      <c r="X19" s="2"/>
      <c r="Y19" s="222"/>
      <c r="Z19" s="2"/>
      <c r="AA19" s="222"/>
      <c r="AB19" s="2"/>
      <c r="AC19" s="222"/>
      <c r="AD19" s="2"/>
      <c r="AE19" s="222"/>
      <c r="AF19" s="2"/>
      <c r="AG19" s="222"/>
      <c r="AH19" s="2"/>
      <c r="AI19" s="2"/>
      <c r="AJ19" s="2"/>
      <c r="AK19" s="2"/>
      <c r="AL19" s="2"/>
      <c r="AM19" s="2"/>
      <c r="AN19" s="2"/>
      <c r="AO19" s="2"/>
      <c r="AP19" s="2"/>
      <c r="AQ19" s="2"/>
      <c r="AR19" s="2"/>
      <c r="AS19" s="2"/>
      <c r="AT19" s="2"/>
      <c r="AU19" s="2"/>
    </row>
    <row r="20" spans="1:47" x14ac:dyDescent="0.25">
      <c r="A20" s="236"/>
      <c r="B20" s="244"/>
      <c r="C20" s="245"/>
      <c r="D20" s="246"/>
      <c r="E20" s="247"/>
      <c r="F20" s="248"/>
      <c r="G20" s="2"/>
      <c r="H20" s="222"/>
      <c r="I20" s="222"/>
      <c r="J20" s="222"/>
      <c r="K20" s="222"/>
      <c r="L20" s="222"/>
      <c r="M20" s="222"/>
      <c r="N20" s="249">
        <f>HUY_Machine14</f>
        <v>196</v>
      </c>
      <c r="O20" s="2"/>
      <c r="P20" s="2"/>
      <c r="Q20" s="222"/>
      <c r="R20" s="2"/>
      <c r="S20" s="222"/>
      <c r="T20" s="2"/>
      <c r="U20" s="222"/>
      <c r="V20" s="2"/>
      <c r="W20" s="222"/>
      <c r="X20" s="2"/>
      <c r="Y20" s="222"/>
      <c r="Z20" s="2"/>
      <c r="AA20" s="222"/>
      <c r="AB20" s="2"/>
      <c r="AC20" s="222"/>
      <c r="AD20" s="2"/>
      <c r="AE20" s="222"/>
      <c r="AF20" s="2"/>
      <c r="AG20" s="222"/>
      <c r="AH20" s="2"/>
      <c r="AI20" s="2"/>
      <c r="AJ20" s="2"/>
      <c r="AK20" s="2"/>
      <c r="AL20" s="2"/>
      <c r="AM20" s="2"/>
      <c r="AN20" s="2"/>
      <c r="AO20" s="2"/>
      <c r="AP20" s="2"/>
      <c r="AQ20" s="2"/>
      <c r="AR20" s="2"/>
      <c r="AS20" s="2"/>
    </row>
    <row r="21" spans="1:47" x14ac:dyDescent="0.25">
      <c r="A21" s="236"/>
      <c r="B21" s="250"/>
      <c r="C21" s="251"/>
      <c r="D21" s="252"/>
      <c r="E21" s="252"/>
      <c r="F21" s="252"/>
      <c r="G21" s="252"/>
      <c r="H21" s="252"/>
      <c r="I21" s="222"/>
      <c r="J21" s="222"/>
      <c r="K21" s="222"/>
      <c r="L21" s="222"/>
      <c r="M21" s="249"/>
      <c r="N21" s="2">
        <f>N19/N20</f>
        <v>7.6530612244897958</v>
      </c>
      <c r="O21" s="2"/>
      <c r="P21" s="2"/>
      <c r="Q21" s="222"/>
      <c r="R21" s="2"/>
      <c r="S21" s="222"/>
      <c r="T21" s="2"/>
      <c r="U21" s="222"/>
      <c r="V21" s="222"/>
      <c r="W21" s="238"/>
      <c r="X21" s="2"/>
      <c r="Y21" s="222"/>
      <c r="Z21" s="2"/>
      <c r="AA21" s="222"/>
      <c r="AB21" s="2"/>
      <c r="AC21" s="222"/>
      <c r="AD21" s="2"/>
      <c r="AE21" s="222"/>
      <c r="AF21" s="2"/>
      <c r="AG21" s="222"/>
      <c r="AH21" s="2"/>
      <c r="AI21" s="2"/>
      <c r="AJ21" s="2"/>
      <c r="AK21" s="2"/>
      <c r="AL21" s="2"/>
      <c r="AM21" s="2"/>
      <c r="AN21" s="2"/>
      <c r="AO21" s="2"/>
      <c r="AP21" s="2"/>
      <c r="AQ21" s="2"/>
      <c r="AR21" s="2"/>
      <c r="AS21" s="2"/>
    </row>
    <row r="22" spans="1:47" x14ac:dyDescent="0.25">
      <c r="A22" s="236"/>
      <c r="B22" s="244"/>
      <c r="C22" s="119"/>
      <c r="D22" s="252"/>
      <c r="E22" s="252"/>
      <c r="F22" s="252"/>
      <c r="G22" s="252"/>
      <c r="H22" s="252"/>
      <c r="I22" s="222"/>
      <c r="J22" s="222"/>
      <c r="K22" s="222"/>
      <c r="L22" s="222"/>
      <c r="M22" s="249"/>
      <c r="N22" s="2">
        <f>HUY_Machine14</f>
        <v>196</v>
      </c>
      <c r="O22" s="2"/>
      <c r="P22" s="2"/>
      <c r="Q22" s="222"/>
      <c r="R22" s="2"/>
      <c r="S22" s="222"/>
      <c r="T22" s="2"/>
      <c r="U22" s="222"/>
      <c r="V22" s="222"/>
      <c r="W22" s="238"/>
      <c r="X22" s="2"/>
      <c r="Y22" s="222"/>
      <c r="Z22" s="2"/>
      <c r="AA22" s="222"/>
      <c r="AB22" s="2"/>
      <c r="AC22" s="222"/>
      <c r="AD22" s="2"/>
      <c r="AE22" s="222"/>
      <c r="AF22" s="2"/>
      <c r="AG22" s="222"/>
      <c r="AH22" s="2"/>
      <c r="AI22" s="2"/>
      <c r="AJ22" s="2"/>
      <c r="AK22" s="2"/>
      <c r="AL22" s="2"/>
      <c r="AM22" s="2"/>
      <c r="AN22" s="2"/>
      <c r="AO22" s="2"/>
      <c r="AP22" s="2"/>
      <c r="AQ22" s="2"/>
      <c r="AR22" s="2"/>
      <c r="AS22" s="2"/>
    </row>
    <row r="23" spans="1:47" x14ac:dyDescent="0.25">
      <c r="A23" s="236"/>
      <c r="B23" s="250"/>
      <c r="C23" s="253"/>
      <c r="D23" s="252"/>
      <c r="E23" s="252"/>
      <c r="F23" s="252"/>
      <c r="G23" s="252"/>
      <c r="H23" s="252"/>
      <c r="I23" s="222"/>
      <c r="J23" s="222"/>
      <c r="K23" s="222"/>
      <c r="L23" s="222"/>
      <c r="M23" s="249"/>
      <c r="N23" s="2"/>
      <c r="O23" s="2"/>
      <c r="P23" s="249"/>
      <c r="Q23" s="2"/>
      <c r="R23" s="2"/>
      <c r="S23" s="222"/>
      <c r="T23" s="2"/>
      <c r="U23" s="222"/>
      <c r="V23" s="222"/>
      <c r="W23" s="238"/>
      <c r="X23" s="2"/>
      <c r="Y23" s="222"/>
      <c r="Z23" s="2"/>
      <c r="AA23" s="222"/>
      <c r="AB23" s="2"/>
      <c r="AC23" s="222"/>
      <c r="AD23" s="2"/>
      <c r="AE23" s="222"/>
      <c r="AF23" s="2"/>
      <c r="AG23" s="222"/>
      <c r="AH23" s="2"/>
      <c r="AI23" s="2"/>
      <c r="AJ23" s="2"/>
      <c r="AK23" s="2"/>
      <c r="AL23" s="2"/>
      <c r="AM23" s="2"/>
      <c r="AN23" s="2"/>
      <c r="AO23" s="2"/>
      <c r="AP23" s="2"/>
      <c r="AQ23" s="2"/>
      <c r="AR23" s="2"/>
      <c r="AS23" s="2"/>
    </row>
    <row r="24" spans="1:47" x14ac:dyDescent="0.25">
      <c r="A24" s="236"/>
      <c r="B24" s="244"/>
      <c r="C24" s="119"/>
      <c r="D24" s="252"/>
      <c r="E24" s="252"/>
      <c r="F24" s="252"/>
      <c r="G24" s="252"/>
      <c r="H24" s="252"/>
      <c r="I24" s="222"/>
      <c r="J24" s="222"/>
      <c r="K24" s="222"/>
      <c r="L24" s="222"/>
      <c r="M24" s="249"/>
      <c r="N24" s="2"/>
      <c r="O24" s="14"/>
      <c r="P24" s="249"/>
      <c r="Q24" s="2"/>
      <c r="R24" s="2"/>
      <c r="S24" s="222"/>
      <c r="T24" s="2"/>
      <c r="U24" s="222"/>
      <c r="V24" s="222"/>
      <c r="W24" s="238"/>
      <c r="X24" s="2"/>
      <c r="Y24" s="222"/>
      <c r="Z24" s="2"/>
      <c r="AA24" s="222"/>
      <c r="AB24" s="2"/>
      <c r="AC24" s="222"/>
      <c r="AD24" s="2"/>
      <c r="AE24" s="222"/>
      <c r="AF24" s="2"/>
      <c r="AG24" s="222"/>
      <c r="AH24" s="2"/>
      <c r="AI24" s="2"/>
      <c r="AJ24" s="2"/>
      <c r="AK24" s="2"/>
      <c r="AL24" s="2"/>
      <c r="AM24" s="2"/>
      <c r="AN24" s="2"/>
      <c r="AO24" s="2"/>
      <c r="AP24" s="2"/>
      <c r="AQ24" s="2"/>
      <c r="AR24" s="2"/>
      <c r="AS24" s="2"/>
    </row>
    <row r="25" spans="1:47" x14ac:dyDescent="0.25">
      <c r="A25" s="236"/>
      <c r="B25" s="244"/>
      <c r="C25" s="254"/>
      <c r="D25" s="252"/>
      <c r="E25" s="252"/>
      <c r="F25" s="252"/>
      <c r="G25" s="252"/>
      <c r="H25" s="252"/>
      <c r="I25" s="222"/>
      <c r="J25" s="222"/>
      <c r="K25" s="222"/>
      <c r="L25" s="222"/>
      <c r="M25" s="255"/>
      <c r="N25" s="14"/>
      <c r="O25" s="2"/>
      <c r="P25" s="249"/>
      <c r="Q25" s="2"/>
      <c r="R25" s="2"/>
      <c r="S25" s="222"/>
      <c r="T25" s="2"/>
      <c r="U25" s="222"/>
      <c r="V25" s="222"/>
      <c r="W25" s="238"/>
      <c r="X25" s="2"/>
      <c r="Y25" s="222"/>
      <c r="Z25" s="2"/>
      <c r="AA25" s="222"/>
      <c r="AB25" s="2"/>
      <c r="AC25" s="222"/>
      <c r="AD25" s="2"/>
      <c r="AE25" s="222"/>
      <c r="AF25" s="2"/>
      <c r="AG25" s="222"/>
      <c r="AH25" s="2"/>
      <c r="AI25" s="2"/>
      <c r="AJ25" s="2"/>
      <c r="AK25" s="2"/>
      <c r="AL25" s="2"/>
      <c r="AM25" s="2"/>
      <c r="AN25" s="2"/>
      <c r="AO25" s="2"/>
      <c r="AP25" s="2"/>
      <c r="AQ25" s="2"/>
      <c r="AR25" s="2"/>
      <c r="AS25" s="2"/>
    </row>
    <row r="26" spans="1:47" x14ac:dyDescent="0.25">
      <c r="A26" s="236"/>
      <c r="B26" s="244"/>
      <c r="C26" s="119"/>
      <c r="D26" s="252"/>
      <c r="E26" s="252"/>
      <c r="F26" s="252"/>
      <c r="G26" s="252"/>
      <c r="H26" s="252"/>
      <c r="I26" s="222"/>
      <c r="J26" s="222"/>
      <c r="K26" s="222"/>
      <c r="L26" s="222"/>
      <c r="M26" s="2"/>
      <c r="N26" s="2"/>
      <c r="O26" s="222"/>
      <c r="P26" s="249"/>
      <c r="Q26" s="2"/>
      <c r="R26" s="2"/>
      <c r="S26" s="222"/>
      <c r="T26" s="2"/>
      <c r="U26" s="222"/>
      <c r="V26" s="222"/>
      <c r="W26" s="238"/>
      <c r="X26" s="2"/>
      <c r="Y26" s="222"/>
      <c r="Z26" s="2"/>
      <c r="AA26" s="222"/>
      <c r="AB26" s="2"/>
      <c r="AC26" s="222"/>
      <c r="AD26" s="2"/>
      <c r="AE26" s="222"/>
      <c r="AF26" s="2"/>
      <c r="AG26" s="222"/>
      <c r="AH26" s="2"/>
      <c r="AI26" s="2"/>
      <c r="AJ26" s="2"/>
      <c r="AK26" s="2"/>
      <c r="AL26" s="2"/>
      <c r="AM26" s="2"/>
      <c r="AN26" s="2"/>
      <c r="AO26" s="2"/>
      <c r="AP26" s="2"/>
      <c r="AQ26" s="2"/>
      <c r="AR26" s="2"/>
      <c r="AS26" s="2"/>
    </row>
    <row r="27" spans="1:47" x14ac:dyDescent="0.25">
      <c r="A27" s="236"/>
      <c r="B27" s="244"/>
      <c r="C27" s="244"/>
      <c r="D27" s="252"/>
      <c r="E27" s="252"/>
      <c r="F27" s="252"/>
      <c r="G27" s="252"/>
      <c r="H27" s="252"/>
      <c r="I27" s="222"/>
      <c r="J27" s="222"/>
      <c r="K27" s="222"/>
      <c r="L27" s="222"/>
      <c r="M27" s="222"/>
      <c r="N27" s="14"/>
      <c r="O27" s="222"/>
      <c r="P27" s="2"/>
      <c r="Q27" s="222"/>
      <c r="R27" s="2"/>
      <c r="S27" s="222"/>
      <c r="T27" s="2"/>
      <c r="U27" s="222"/>
      <c r="V27" s="222"/>
      <c r="W27" s="238"/>
      <c r="X27" s="2"/>
      <c r="Y27" s="222"/>
      <c r="Z27" s="2"/>
      <c r="AA27" s="222"/>
      <c r="AB27" s="2"/>
      <c r="AC27" s="222"/>
      <c r="AD27" s="2"/>
      <c r="AE27" s="222"/>
      <c r="AF27" s="2"/>
      <c r="AG27" s="222"/>
      <c r="AH27" s="2"/>
      <c r="AI27" s="2"/>
      <c r="AJ27" s="2"/>
      <c r="AK27" s="2"/>
      <c r="AL27" s="2"/>
      <c r="AM27" s="2"/>
      <c r="AN27" s="2"/>
      <c r="AO27" s="2"/>
      <c r="AP27" s="2"/>
      <c r="AQ27" s="2"/>
      <c r="AR27" s="2"/>
      <c r="AS27" s="2"/>
    </row>
    <row r="28" spans="1:47" x14ac:dyDescent="0.25">
      <c r="A28" s="236"/>
      <c r="B28" s="244"/>
      <c r="C28" s="256"/>
      <c r="D28" s="247"/>
      <c r="E28" s="247"/>
      <c r="F28" s="248"/>
      <c r="G28" s="2"/>
      <c r="H28" s="222"/>
      <c r="I28" s="222"/>
      <c r="J28" s="222"/>
      <c r="K28" s="222"/>
      <c r="L28" s="222"/>
      <c r="M28" s="222"/>
      <c r="N28" s="14"/>
      <c r="O28" s="222"/>
      <c r="P28" s="2"/>
      <c r="Q28" s="222"/>
      <c r="R28" s="2"/>
      <c r="S28" s="222"/>
      <c r="T28" s="2"/>
      <c r="U28" s="222"/>
      <c r="V28" s="222"/>
      <c r="W28" s="238"/>
      <c r="X28" s="2"/>
      <c r="Y28" s="222"/>
      <c r="Z28" s="2"/>
      <c r="AA28" s="222"/>
      <c r="AB28" s="2"/>
      <c r="AC28" s="222"/>
      <c r="AD28" s="2"/>
      <c r="AE28" s="222"/>
      <c r="AF28" s="2"/>
      <c r="AG28" s="222"/>
      <c r="AH28" s="2"/>
      <c r="AI28" s="2"/>
      <c r="AJ28" s="2"/>
      <c r="AK28" s="2"/>
      <c r="AL28" s="2"/>
      <c r="AM28" s="2"/>
      <c r="AN28" s="2"/>
      <c r="AO28" s="2"/>
      <c r="AP28" s="2"/>
      <c r="AQ28" s="2"/>
      <c r="AR28" s="2"/>
      <c r="AS28" s="2"/>
    </row>
    <row r="29" spans="1:47" ht="16.5" customHeight="1" x14ac:dyDescent="0.25">
      <c r="A29" s="236"/>
      <c r="B29" s="244"/>
      <c r="C29" s="257"/>
      <c r="D29" s="766"/>
      <c r="E29" s="766"/>
      <c r="F29" s="766"/>
      <c r="G29" s="766"/>
      <c r="H29" s="766"/>
      <c r="I29" s="222"/>
      <c r="J29" s="222"/>
      <c r="K29" s="222"/>
      <c r="L29" s="222"/>
      <c r="M29" s="222"/>
      <c r="N29" s="14"/>
      <c r="O29" s="222"/>
      <c r="P29" s="2"/>
      <c r="Q29" s="222"/>
      <c r="R29" s="2"/>
      <c r="S29" s="222"/>
      <c r="T29" s="2"/>
      <c r="U29" s="222"/>
      <c r="V29" s="222"/>
      <c r="W29" s="238"/>
      <c r="X29" s="2"/>
      <c r="Y29" s="222"/>
      <c r="Z29" s="2"/>
      <c r="AA29" s="222"/>
      <c r="AB29" s="2"/>
      <c r="AC29" s="222"/>
      <c r="AD29" s="2"/>
      <c r="AE29" s="222"/>
      <c r="AF29" s="2"/>
      <c r="AG29" s="222"/>
      <c r="AH29" s="2"/>
      <c r="AI29" s="2"/>
      <c r="AJ29" s="2"/>
      <c r="AK29" s="2"/>
      <c r="AL29" s="2"/>
      <c r="AM29" s="2"/>
      <c r="AN29" s="2"/>
      <c r="AO29" s="2"/>
      <c r="AP29" s="2"/>
      <c r="AQ29" s="2"/>
      <c r="AR29" s="2"/>
      <c r="AS29" s="2"/>
    </row>
    <row r="30" spans="1:47" ht="20.25" customHeight="1" x14ac:dyDescent="0.25">
      <c r="A30" s="236"/>
      <c r="B30" s="244"/>
      <c r="C30" s="257"/>
      <c r="D30" s="766"/>
      <c r="E30" s="766"/>
      <c r="F30" s="766"/>
      <c r="G30" s="766"/>
      <c r="H30" s="766"/>
      <c r="I30" s="222"/>
      <c r="J30" s="222"/>
      <c r="K30" s="222"/>
      <c r="L30" s="222"/>
      <c r="M30" s="222"/>
      <c r="N30" s="14"/>
      <c r="O30" s="222"/>
      <c r="P30" s="2"/>
      <c r="Q30" s="222"/>
      <c r="R30" s="2"/>
      <c r="S30" s="222"/>
      <c r="T30" s="2"/>
      <c r="U30" s="222"/>
      <c r="V30" s="222"/>
      <c r="W30" s="238"/>
      <c r="X30" s="2"/>
      <c r="Y30" s="222"/>
      <c r="Z30" s="2"/>
      <c r="AA30" s="222"/>
      <c r="AB30" s="2"/>
      <c r="AC30" s="222"/>
      <c r="AD30" s="2"/>
      <c r="AE30" s="222"/>
      <c r="AF30" s="2"/>
      <c r="AG30" s="222"/>
      <c r="AH30" s="2"/>
      <c r="AI30" s="2"/>
      <c r="AJ30" s="2"/>
      <c r="AK30" s="2"/>
      <c r="AL30" s="2"/>
      <c r="AM30" s="2"/>
      <c r="AN30" s="2"/>
      <c r="AO30" s="2"/>
      <c r="AP30" s="2"/>
      <c r="AQ30" s="2"/>
      <c r="AR30" s="2"/>
      <c r="AS30" s="2"/>
    </row>
    <row r="31" spans="1:47" x14ac:dyDescent="0.25">
      <c r="A31" s="236"/>
      <c r="B31" s="244"/>
      <c r="C31" s="258"/>
      <c r="D31" s="247"/>
      <c r="E31" s="247"/>
      <c r="F31" s="248"/>
      <c r="G31" s="2"/>
      <c r="H31" s="222"/>
      <c r="I31" s="222"/>
      <c r="J31" s="222"/>
      <c r="K31" s="222"/>
      <c r="L31" s="222"/>
      <c r="M31" s="222"/>
      <c r="N31" s="14"/>
      <c r="O31" s="222"/>
      <c r="P31" s="2"/>
      <c r="Q31" s="222"/>
      <c r="R31" s="2"/>
      <c r="S31" s="222"/>
      <c r="T31" s="2"/>
      <c r="U31" s="222"/>
      <c r="V31" s="222"/>
      <c r="W31" s="238"/>
      <c r="X31" s="2"/>
      <c r="Y31" s="222"/>
      <c r="Z31" s="2"/>
      <c r="AA31" s="222"/>
      <c r="AB31" s="2"/>
      <c r="AC31" s="222"/>
      <c r="AD31" s="2"/>
      <c r="AE31" s="222"/>
      <c r="AF31" s="2"/>
      <c r="AG31" s="222"/>
      <c r="AH31" s="2"/>
      <c r="AI31" s="2"/>
      <c r="AJ31" s="2"/>
      <c r="AK31" s="2"/>
      <c r="AL31" s="2"/>
      <c r="AM31" s="2"/>
      <c r="AN31" s="2"/>
      <c r="AO31" s="2"/>
      <c r="AP31" s="2"/>
      <c r="AQ31" s="2"/>
      <c r="AR31" s="2"/>
      <c r="AS31" s="2"/>
    </row>
    <row r="32" spans="1:47" x14ac:dyDescent="0.25">
      <c r="A32" s="236"/>
      <c r="B32" s="244"/>
      <c r="C32" s="258"/>
      <c r="D32" s="244"/>
      <c r="E32" s="247"/>
      <c r="F32" s="248"/>
      <c r="G32" s="2"/>
      <c r="H32" s="222"/>
      <c r="I32" s="222"/>
      <c r="J32" s="222"/>
      <c r="K32" s="222"/>
      <c r="L32" s="222"/>
      <c r="M32" s="222"/>
      <c r="N32" s="14"/>
      <c r="O32" s="222"/>
      <c r="P32" s="2"/>
      <c r="Q32" s="222"/>
      <c r="R32" s="2"/>
      <c r="S32" s="222"/>
      <c r="T32" s="2"/>
      <c r="U32" s="222"/>
      <c r="V32" s="222"/>
      <c r="W32" s="238"/>
      <c r="X32" s="2"/>
      <c r="Y32" s="222"/>
      <c r="Z32" s="2"/>
      <c r="AA32" s="222"/>
      <c r="AB32" s="2"/>
      <c r="AC32" s="222"/>
      <c r="AD32" s="2"/>
      <c r="AE32" s="222"/>
      <c r="AF32" s="2"/>
      <c r="AG32" s="222"/>
      <c r="AH32" s="2"/>
      <c r="AI32" s="2"/>
      <c r="AJ32" s="2"/>
      <c r="AK32" s="2"/>
      <c r="AL32" s="2"/>
      <c r="AM32" s="2"/>
      <c r="AN32" s="2"/>
      <c r="AO32" s="2"/>
      <c r="AP32" s="2"/>
      <c r="AQ32" s="2"/>
      <c r="AR32" s="2"/>
      <c r="AS32" s="2"/>
    </row>
    <row r="33" spans="1:45" x14ac:dyDescent="0.25">
      <c r="A33" s="236"/>
      <c r="B33" s="244"/>
      <c r="C33" s="259"/>
      <c r="D33" s="244"/>
      <c r="E33" s="247"/>
      <c r="F33" s="248"/>
      <c r="G33" s="2"/>
      <c r="H33" s="222"/>
      <c r="I33" s="222"/>
      <c r="J33" s="222"/>
      <c r="K33" s="222"/>
      <c r="L33" s="222"/>
      <c r="M33" s="222"/>
      <c r="N33" s="14"/>
      <c r="O33" s="222"/>
      <c r="P33" s="2"/>
      <c r="Q33" s="222"/>
      <c r="R33" s="2"/>
      <c r="S33" s="222"/>
      <c r="T33" s="2"/>
      <c r="U33" s="222"/>
      <c r="V33" s="222"/>
      <c r="W33" s="238"/>
      <c r="X33" s="2"/>
      <c r="Y33" s="222"/>
      <c r="Z33" s="2"/>
      <c r="AA33" s="222"/>
      <c r="AB33" s="2"/>
      <c r="AC33" s="222"/>
      <c r="AD33" s="2"/>
      <c r="AE33" s="222"/>
      <c r="AF33" s="2"/>
      <c r="AG33" s="222"/>
      <c r="AH33" s="2"/>
      <c r="AI33" s="2"/>
      <c r="AJ33" s="2"/>
      <c r="AK33" s="2"/>
      <c r="AL33" s="2"/>
      <c r="AM33" s="2"/>
      <c r="AN33" s="2"/>
      <c r="AO33" s="2"/>
      <c r="AP33" s="2"/>
      <c r="AQ33" s="2"/>
      <c r="AR33" s="2"/>
      <c r="AS33" s="2"/>
    </row>
    <row r="34" spans="1:45" x14ac:dyDescent="0.25">
      <c r="A34" s="236"/>
      <c r="B34" s="244"/>
      <c r="C34" s="260"/>
      <c r="D34" s="244"/>
      <c r="E34" s="247"/>
      <c r="F34" s="248"/>
      <c r="G34" s="2"/>
      <c r="H34" s="222"/>
      <c r="I34" s="222"/>
      <c r="J34" s="222"/>
      <c r="K34" s="222"/>
      <c r="L34" s="222"/>
      <c r="M34" s="222"/>
      <c r="N34" s="14"/>
      <c r="O34" s="222"/>
      <c r="P34" s="2"/>
      <c r="Q34" s="222"/>
      <c r="R34" s="2"/>
      <c r="S34" s="222"/>
      <c r="T34" s="2"/>
      <c r="U34" s="222"/>
      <c r="V34" s="222"/>
      <c r="W34" s="2"/>
      <c r="X34" s="2"/>
      <c r="Y34" s="222"/>
      <c r="Z34" s="2"/>
      <c r="AA34" s="222"/>
      <c r="AB34" s="2"/>
      <c r="AC34" s="222"/>
      <c r="AD34" s="2"/>
      <c r="AE34" s="222"/>
      <c r="AF34" s="2"/>
      <c r="AG34" s="222"/>
      <c r="AH34" s="2"/>
      <c r="AI34" s="2"/>
      <c r="AJ34" s="2"/>
      <c r="AK34" s="2"/>
      <c r="AL34" s="2"/>
      <c r="AM34" s="2"/>
      <c r="AN34" s="2"/>
      <c r="AO34" s="2"/>
      <c r="AP34" s="2"/>
      <c r="AQ34" s="2"/>
      <c r="AR34" s="2"/>
      <c r="AS34" s="2"/>
    </row>
    <row r="35" spans="1:45" x14ac:dyDescent="0.25">
      <c r="A35" s="236"/>
      <c r="B35" s="244"/>
      <c r="C35" s="261"/>
      <c r="D35" s="247"/>
      <c r="E35" s="247"/>
      <c r="F35" s="248"/>
      <c r="G35" s="2"/>
      <c r="H35" s="222"/>
      <c r="I35" s="222"/>
      <c r="J35" s="222"/>
      <c r="K35" s="222"/>
      <c r="L35" s="222"/>
      <c r="M35" s="222"/>
      <c r="N35" s="14"/>
      <c r="O35" s="222"/>
      <c r="P35" s="2"/>
      <c r="Q35" s="222"/>
      <c r="R35" s="2"/>
      <c r="S35" s="222"/>
      <c r="T35" s="2"/>
      <c r="U35" s="222"/>
      <c r="V35" s="2"/>
      <c r="W35" s="222"/>
      <c r="X35" s="2"/>
      <c r="Y35" s="222"/>
      <c r="Z35" s="2"/>
      <c r="AA35" s="222"/>
      <c r="AB35" s="2"/>
      <c r="AC35" s="222"/>
      <c r="AD35" s="2"/>
      <c r="AE35" s="222"/>
      <c r="AF35" s="2"/>
      <c r="AG35" s="222"/>
      <c r="AH35" s="2"/>
      <c r="AI35" s="2"/>
      <c r="AJ35" s="2"/>
      <c r="AK35" s="2"/>
      <c r="AL35" s="2"/>
      <c r="AM35" s="2"/>
      <c r="AN35" s="2"/>
      <c r="AO35" s="2"/>
      <c r="AP35" s="2"/>
      <c r="AQ35" s="2"/>
      <c r="AR35" s="2"/>
      <c r="AS35" s="2"/>
    </row>
    <row r="36" spans="1:45" x14ac:dyDescent="0.25">
      <c r="A36" s="236"/>
      <c r="B36" s="262"/>
      <c r="C36" s="257"/>
      <c r="D36" s="247"/>
      <c r="E36" s="247"/>
      <c r="F36" s="248"/>
      <c r="G36" s="2"/>
      <c r="H36" s="222"/>
      <c r="I36" s="222"/>
      <c r="J36" s="222"/>
      <c r="K36" s="222"/>
      <c r="L36" s="222"/>
      <c r="M36" s="222"/>
      <c r="N36" s="14"/>
      <c r="O36" s="222"/>
      <c r="P36" s="2"/>
      <c r="Q36" s="222"/>
      <c r="R36" s="2"/>
      <c r="S36" s="222"/>
      <c r="T36" s="2"/>
      <c r="U36" s="222"/>
      <c r="V36" s="2"/>
      <c r="W36" s="222"/>
      <c r="X36" s="2"/>
      <c r="Y36" s="222"/>
      <c r="Z36" s="2"/>
      <c r="AA36" s="222"/>
      <c r="AB36" s="2"/>
      <c r="AC36" s="222"/>
      <c r="AD36" s="2"/>
      <c r="AE36" s="222"/>
      <c r="AF36" s="2"/>
      <c r="AG36" s="222"/>
      <c r="AH36" s="2"/>
      <c r="AI36" s="2"/>
      <c r="AJ36" s="2"/>
      <c r="AK36" s="2"/>
      <c r="AL36" s="2"/>
      <c r="AM36" s="2"/>
      <c r="AN36" s="2"/>
      <c r="AO36" s="2"/>
      <c r="AP36" s="2"/>
      <c r="AQ36" s="2"/>
      <c r="AR36" s="2"/>
      <c r="AS36" s="2"/>
    </row>
    <row r="37" spans="1:45" x14ac:dyDescent="0.25">
      <c r="A37" s="236"/>
      <c r="B37" s="244"/>
      <c r="C37" s="263"/>
      <c r="D37" s="247"/>
      <c r="E37" s="247"/>
      <c r="F37" s="248"/>
      <c r="G37" s="2"/>
      <c r="H37" s="222"/>
      <c r="I37" s="222"/>
      <c r="J37" s="222"/>
      <c r="K37" s="222"/>
      <c r="L37" s="222"/>
      <c r="M37" s="222"/>
      <c r="N37" s="14"/>
      <c r="O37" s="222"/>
      <c r="P37" s="2"/>
      <c r="Q37" s="222"/>
      <c r="R37" s="2"/>
      <c r="S37" s="222"/>
      <c r="T37" s="2"/>
      <c r="U37" s="222"/>
      <c r="V37" s="2"/>
      <c r="W37" s="222"/>
      <c r="X37" s="2"/>
      <c r="Y37" s="222"/>
      <c r="Z37" s="2"/>
      <c r="AA37" s="222"/>
      <c r="AB37" s="2"/>
      <c r="AC37" s="222"/>
      <c r="AD37" s="2"/>
      <c r="AE37" s="222"/>
      <c r="AF37" s="2"/>
      <c r="AG37" s="222"/>
      <c r="AH37" s="2"/>
      <c r="AI37" s="2"/>
      <c r="AJ37" s="2"/>
      <c r="AK37" s="2"/>
      <c r="AL37" s="2"/>
      <c r="AM37" s="2"/>
      <c r="AN37" s="2"/>
      <c r="AO37" s="2"/>
      <c r="AP37" s="2"/>
      <c r="AQ37" s="2"/>
      <c r="AR37" s="2"/>
      <c r="AS37" s="2"/>
    </row>
    <row r="38" spans="1:45" x14ac:dyDescent="0.25">
      <c r="A38" s="236"/>
      <c r="B38" s="244"/>
      <c r="C38" s="263"/>
      <c r="D38" s="247"/>
      <c r="E38" s="247"/>
      <c r="F38" s="248"/>
      <c r="G38" s="2"/>
      <c r="H38" s="222"/>
      <c r="I38" s="222"/>
      <c r="J38" s="222"/>
      <c r="K38" s="222"/>
      <c r="L38" s="222"/>
      <c r="M38" s="222"/>
      <c r="N38" s="222"/>
      <c r="O38" s="222"/>
      <c r="P38" s="2"/>
      <c r="Q38" s="222"/>
      <c r="R38" s="2"/>
      <c r="S38" s="222"/>
      <c r="T38" s="2"/>
      <c r="U38" s="222"/>
      <c r="V38" s="2"/>
      <c r="W38" s="222"/>
      <c r="X38" s="2"/>
      <c r="Y38" s="222"/>
      <c r="Z38" s="2"/>
      <c r="AA38" s="222"/>
      <c r="AB38" s="2"/>
      <c r="AC38" s="222"/>
      <c r="AD38" s="2"/>
      <c r="AE38" s="222"/>
      <c r="AF38" s="2"/>
      <c r="AG38" s="222"/>
      <c r="AH38" s="2"/>
      <c r="AI38" s="2"/>
      <c r="AJ38" s="2"/>
      <c r="AK38" s="2"/>
      <c r="AL38" s="2"/>
      <c r="AM38" s="2"/>
      <c r="AN38" s="2"/>
      <c r="AO38" s="2"/>
      <c r="AP38" s="2"/>
      <c r="AQ38" s="2"/>
      <c r="AR38" s="2"/>
      <c r="AS38" s="2"/>
    </row>
    <row r="39" spans="1:45" x14ac:dyDescent="0.25">
      <c r="A39" s="236"/>
      <c r="B39" s="244"/>
      <c r="C39" s="263"/>
      <c r="D39" s="247"/>
      <c r="E39" s="247"/>
      <c r="F39" s="248"/>
      <c r="G39" s="2"/>
      <c r="H39" s="222"/>
      <c r="I39" s="222"/>
      <c r="J39" s="222"/>
      <c r="K39" s="222"/>
      <c r="L39" s="222"/>
      <c r="M39" s="222"/>
      <c r="N39" s="222"/>
      <c r="O39" s="222"/>
      <c r="P39" s="2"/>
      <c r="Q39" s="222"/>
      <c r="R39" s="2"/>
      <c r="S39" s="222"/>
      <c r="T39" s="2"/>
      <c r="U39" s="222"/>
      <c r="V39" s="2"/>
      <c r="W39" s="222"/>
      <c r="X39" s="2"/>
      <c r="Y39" s="222"/>
      <c r="Z39" s="2"/>
      <c r="AA39" s="222"/>
      <c r="AB39" s="2"/>
      <c r="AC39" s="222"/>
      <c r="AD39" s="2"/>
      <c r="AE39" s="222"/>
      <c r="AF39" s="2"/>
      <c r="AG39" s="222"/>
      <c r="AH39" s="2"/>
      <c r="AI39" s="2"/>
      <c r="AJ39" s="2"/>
      <c r="AK39" s="2"/>
      <c r="AL39" s="2"/>
      <c r="AM39" s="2"/>
      <c r="AN39" s="2"/>
      <c r="AO39" s="2"/>
      <c r="AP39" s="2"/>
      <c r="AQ39" s="2"/>
      <c r="AR39" s="2"/>
      <c r="AS39" s="2"/>
    </row>
    <row r="40" spans="1:45" x14ac:dyDescent="0.25">
      <c r="A40" s="236"/>
      <c r="B40" s="244"/>
      <c r="C40" s="264"/>
      <c r="D40" s="247"/>
      <c r="E40" s="247"/>
      <c r="F40" s="248"/>
      <c r="G40" s="2"/>
      <c r="H40" s="222"/>
      <c r="I40" s="222"/>
      <c r="J40" s="222"/>
      <c r="K40" s="222"/>
      <c r="L40" s="222"/>
      <c r="M40" s="222"/>
      <c r="N40" s="222"/>
      <c r="O40" s="222"/>
      <c r="P40" s="2"/>
      <c r="Q40" s="222"/>
      <c r="R40" s="2"/>
      <c r="S40" s="222"/>
      <c r="T40" s="2"/>
      <c r="U40" s="222"/>
      <c r="V40" s="2"/>
      <c r="W40" s="222"/>
      <c r="X40" s="2"/>
      <c r="Y40" s="222"/>
      <c r="Z40" s="2"/>
      <c r="AA40" s="222"/>
      <c r="AB40" s="2"/>
      <c r="AC40" s="222"/>
      <c r="AD40" s="2"/>
      <c r="AE40" s="222"/>
      <c r="AF40" s="2"/>
      <c r="AG40" s="222"/>
      <c r="AH40" s="2"/>
      <c r="AI40" s="2"/>
      <c r="AJ40" s="2"/>
      <c r="AK40" s="2"/>
      <c r="AL40" s="2"/>
      <c r="AM40" s="2"/>
      <c r="AN40" s="2"/>
      <c r="AO40" s="2"/>
      <c r="AP40" s="2"/>
      <c r="AQ40" s="2"/>
      <c r="AR40" s="2"/>
      <c r="AS40" s="2"/>
    </row>
    <row r="41" spans="1:45" x14ac:dyDescent="0.25">
      <c r="A41" s="236"/>
      <c r="B41" s="244"/>
      <c r="C41" s="245"/>
      <c r="D41" s="247"/>
      <c r="E41" s="247"/>
      <c r="F41" s="248"/>
      <c r="G41" s="2"/>
      <c r="H41" s="222"/>
      <c r="I41" s="222"/>
      <c r="J41" s="222"/>
      <c r="K41" s="222"/>
      <c r="L41" s="222"/>
      <c r="M41" s="222"/>
      <c r="N41" s="222"/>
      <c r="O41" s="222"/>
      <c r="P41" s="2"/>
      <c r="Q41" s="222"/>
      <c r="R41" s="2"/>
      <c r="S41" s="222"/>
      <c r="T41" s="2"/>
      <c r="U41" s="222"/>
      <c r="V41" s="2"/>
      <c r="W41" s="222"/>
      <c r="X41" s="2"/>
      <c r="Y41" s="222"/>
      <c r="Z41" s="2"/>
      <c r="AA41" s="222"/>
      <c r="AB41" s="2"/>
      <c r="AC41" s="222"/>
      <c r="AD41" s="2"/>
      <c r="AE41" s="222"/>
      <c r="AF41" s="2"/>
      <c r="AG41" s="222"/>
      <c r="AH41" s="2"/>
      <c r="AI41" s="2"/>
      <c r="AJ41" s="2"/>
      <c r="AK41" s="2"/>
      <c r="AL41" s="2"/>
      <c r="AM41" s="2"/>
      <c r="AN41" s="2"/>
      <c r="AO41" s="2"/>
      <c r="AP41" s="2"/>
      <c r="AQ41" s="2"/>
      <c r="AR41" s="2"/>
      <c r="AS41" s="2"/>
    </row>
    <row r="42" spans="1:45" x14ac:dyDescent="0.25">
      <c r="A42" s="236"/>
      <c r="B42" s="244"/>
      <c r="C42" s="265"/>
      <c r="D42" s="247"/>
      <c r="E42" s="247"/>
      <c r="F42" s="248"/>
      <c r="G42" s="2"/>
      <c r="H42" s="222"/>
      <c r="I42" s="222"/>
      <c r="J42" s="222"/>
      <c r="K42" s="222"/>
      <c r="L42" s="222"/>
      <c r="M42" s="222"/>
      <c r="N42" s="222"/>
      <c r="O42" s="222"/>
      <c r="P42" s="2"/>
      <c r="Q42" s="222"/>
      <c r="R42" s="2"/>
      <c r="S42" s="222"/>
      <c r="T42" s="2"/>
      <c r="U42" s="222"/>
      <c r="V42" s="2"/>
      <c r="W42" s="222"/>
      <c r="X42" s="2"/>
      <c r="Y42" s="222"/>
      <c r="Z42" s="2"/>
      <c r="AA42" s="222"/>
      <c r="AB42" s="2"/>
      <c r="AC42" s="222"/>
      <c r="AD42" s="2"/>
      <c r="AE42" s="222"/>
      <c r="AF42" s="2"/>
      <c r="AG42" s="222"/>
      <c r="AH42" s="2"/>
      <c r="AI42" s="2"/>
      <c r="AJ42" s="2"/>
      <c r="AK42" s="2"/>
      <c r="AL42" s="2"/>
      <c r="AM42" s="2"/>
      <c r="AN42" s="2"/>
      <c r="AO42" s="2"/>
      <c r="AP42" s="2"/>
      <c r="AQ42" s="2"/>
      <c r="AR42" s="2"/>
      <c r="AS42" s="2"/>
    </row>
    <row r="43" spans="1:45" x14ac:dyDescent="0.25">
      <c r="A43" s="236"/>
      <c r="B43" s="244"/>
      <c r="C43" s="265"/>
      <c r="D43" s="247"/>
      <c r="E43" s="247"/>
      <c r="F43" s="248"/>
      <c r="G43" s="2"/>
      <c r="H43" s="222"/>
      <c r="I43" s="222"/>
      <c r="J43" s="222"/>
      <c r="K43" s="222"/>
      <c r="L43" s="222"/>
      <c r="M43" s="222"/>
      <c r="N43" s="222"/>
      <c r="O43" s="222"/>
      <c r="P43" s="2"/>
      <c r="Q43" s="222"/>
      <c r="R43" s="2"/>
      <c r="S43" s="222"/>
      <c r="T43" s="2"/>
      <c r="U43" s="222"/>
      <c r="V43" s="2"/>
      <c r="W43" s="222"/>
      <c r="X43" s="2"/>
      <c r="Y43" s="222"/>
      <c r="Z43" s="2"/>
      <c r="AA43" s="222"/>
      <c r="AB43" s="2"/>
      <c r="AC43" s="222"/>
      <c r="AD43" s="2"/>
      <c r="AE43" s="222"/>
      <c r="AF43" s="2"/>
      <c r="AG43" s="222"/>
      <c r="AH43" s="2"/>
      <c r="AI43" s="2"/>
      <c r="AJ43" s="2"/>
      <c r="AK43" s="2"/>
      <c r="AL43" s="2"/>
      <c r="AM43" s="2"/>
      <c r="AN43" s="2"/>
      <c r="AO43" s="2"/>
      <c r="AP43" s="2"/>
      <c r="AQ43" s="2"/>
      <c r="AR43" s="2"/>
      <c r="AS43" s="2"/>
    </row>
    <row r="44" spans="1:45" x14ac:dyDescent="0.25">
      <c r="A44" s="236"/>
      <c r="B44" s="244"/>
      <c r="C44" s="265"/>
      <c r="D44" s="247"/>
      <c r="E44" s="247"/>
      <c r="F44" s="248"/>
      <c r="G44" s="2"/>
      <c r="H44" s="222"/>
      <c r="I44" s="222"/>
      <c r="J44" s="222"/>
      <c r="K44" s="222"/>
      <c r="L44" s="222"/>
      <c r="M44" s="222"/>
      <c r="N44" s="222"/>
      <c r="O44" s="222"/>
      <c r="P44" s="2"/>
      <c r="Q44" s="222"/>
      <c r="R44" s="2"/>
      <c r="S44" s="222"/>
      <c r="T44" s="2"/>
      <c r="U44" s="222"/>
      <c r="V44" s="2"/>
      <c r="W44" s="222"/>
      <c r="X44" s="2"/>
      <c r="Y44" s="222"/>
      <c r="Z44" s="2"/>
      <c r="AA44" s="222"/>
      <c r="AB44" s="2"/>
      <c r="AC44" s="222"/>
      <c r="AD44" s="2"/>
      <c r="AE44" s="222"/>
      <c r="AF44" s="2"/>
      <c r="AG44" s="222"/>
      <c r="AH44" s="2"/>
      <c r="AI44" s="2"/>
      <c r="AJ44" s="2"/>
      <c r="AK44" s="2"/>
      <c r="AL44" s="2"/>
      <c r="AM44" s="2"/>
      <c r="AN44" s="2"/>
      <c r="AO44" s="2"/>
      <c r="AP44" s="2"/>
      <c r="AQ44" s="2"/>
      <c r="AR44" s="2"/>
      <c r="AS44" s="2"/>
    </row>
    <row r="45" spans="1:45" x14ac:dyDescent="0.25">
      <c r="A45" s="236"/>
      <c r="B45" s="244"/>
      <c r="C45" s="265"/>
      <c r="D45" s="247"/>
      <c r="E45" s="247"/>
      <c r="F45" s="248"/>
      <c r="G45" s="2"/>
      <c r="H45" s="222"/>
      <c r="I45" s="222"/>
      <c r="J45" s="222"/>
      <c r="K45" s="222"/>
      <c r="L45" s="222"/>
      <c r="M45" s="222"/>
      <c r="N45" s="222"/>
      <c r="O45" s="222"/>
      <c r="P45" s="2"/>
      <c r="Q45" s="222"/>
      <c r="R45" s="2"/>
      <c r="S45" s="222"/>
      <c r="T45" s="2"/>
      <c r="U45" s="222"/>
      <c r="V45" s="2"/>
      <c r="W45" s="222"/>
      <c r="X45" s="2"/>
      <c r="Y45" s="222"/>
      <c r="Z45" s="2"/>
      <c r="AA45" s="222"/>
      <c r="AB45" s="2"/>
      <c r="AC45" s="222"/>
      <c r="AD45" s="2"/>
      <c r="AE45" s="222"/>
      <c r="AF45" s="2"/>
      <c r="AG45" s="222"/>
      <c r="AH45" s="2"/>
      <c r="AI45" s="2"/>
      <c r="AJ45" s="2"/>
      <c r="AK45" s="2"/>
      <c r="AL45" s="2"/>
      <c r="AM45" s="2"/>
      <c r="AN45" s="2"/>
      <c r="AO45" s="2"/>
      <c r="AP45" s="2"/>
      <c r="AQ45" s="2"/>
      <c r="AR45" s="2"/>
      <c r="AS45" s="2"/>
    </row>
    <row r="46" spans="1:45" x14ac:dyDescent="0.25">
      <c r="A46" s="236"/>
      <c r="B46" s="266"/>
      <c r="C46" s="4"/>
      <c r="D46" s="4"/>
      <c r="E46" s="4"/>
      <c r="F46" s="248"/>
      <c r="G46" s="2"/>
      <c r="H46" s="222"/>
      <c r="I46" s="222"/>
      <c r="J46" s="222"/>
      <c r="K46" s="222"/>
      <c r="L46" s="222"/>
      <c r="M46" s="222"/>
      <c r="N46" s="222"/>
      <c r="O46" s="222"/>
      <c r="P46" s="2"/>
      <c r="Q46" s="222"/>
      <c r="R46" s="2"/>
      <c r="S46" s="222"/>
      <c r="T46" s="2"/>
      <c r="U46" s="222"/>
      <c r="V46" s="2"/>
      <c r="W46" s="222"/>
      <c r="X46" s="2"/>
      <c r="Y46" s="222"/>
      <c r="Z46" s="2"/>
      <c r="AA46" s="222"/>
      <c r="AB46" s="2"/>
      <c r="AC46" s="222"/>
      <c r="AD46" s="2"/>
      <c r="AE46" s="222"/>
      <c r="AF46" s="2"/>
      <c r="AG46" s="222"/>
      <c r="AH46" s="2"/>
      <c r="AI46" s="2"/>
      <c r="AJ46" s="2"/>
      <c r="AK46" s="2"/>
      <c r="AL46" s="2"/>
      <c r="AM46" s="2"/>
      <c r="AN46" s="2"/>
      <c r="AO46" s="2"/>
      <c r="AP46" s="2"/>
      <c r="AQ46" s="2"/>
      <c r="AR46" s="2"/>
      <c r="AS46" s="2"/>
    </row>
    <row r="47" spans="1:45" x14ac:dyDescent="0.25">
      <c r="A47" s="236"/>
      <c r="B47" s="236"/>
      <c r="C47" s="2"/>
      <c r="D47" s="2"/>
      <c r="E47" s="2"/>
      <c r="F47" s="222"/>
      <c r="G47" s="2"/>
      <c r="H47" s="222"/>
      <c r="I47" s="222"/>
      <c r="J47" s="222"/>
      <c r="K47" s="222"/>
      <c r="L47" s="222"/>
      <c r="M47" s="222"/>
      <c r="N47" s="222"/>
      <c r="O47" s="222"/>
      <c r="P47" s="2"/>
      <c r="Q47" s="222"/>
      <c r="R47" s="2"/>
      <c r="S47" s="222"/>
      <c r="T47" s="2"/>
      <c r="U47" s="222"/>
      <c r="V47" s="2"/>
      <c r="W47" s="222"/>
      <c r="X47" s="2"/>
      <c r="Y47" s="222"/>
      <c r="Z47" s="2"/>
      <c r="AA47" s="222"/>
      <c r="AB47" s="2"/>
      <c r="AC47" s="222"/>
      <c r="AD47" s="2"/>
      <c r="AE47" s="222"/>
      <c r="AF47" s="2"/>
      <c r="AG47" s="222"/>
      <c r="AH47" s="2"/>
      <c r="AI47" s="2"/>
      <c r="AJ47" s="2"/>
      <c r="AK47" s="2"/>
      <c r="AL47" s="2"/>
      <c r="AM47" s="2"/>
      <c r="AN47" s="2"/>
      <c r="AO47" s="2"/>
      <c r="AP47" s="2"/>
      <c r="AQ47" s="2"/>
      <c r="AR47" s="2"/>
      <c r="AS47" s="2"/>
    </row>
    <row r="48" spans="1:45" x14ac:dyDescent="0.25">
      <c r="A48" s="236"/>
      <c r="B48" s="236"/>
      <c r="C48" s="2"/>
      <c r="D48" s="2"/>
      <c r="E48" s="2"/>
      <c r="F48" s="222"/>
      <c r="G48" s="2"/>
      <c r="H48" s="222"/>
      <c r="I48" s="222"/>
      <c r="J48" s="222"/>
      <c r="K48" s="222"/>
      <c r="L48" s="222"/>
      <c r="M48" s="222"/>
      <c r="N48" s="222"/>
      <c r="O48" s="222"/>
      <c r="P48" s="2"/>
      <c r="Q48" s="222"/>
      <c r="R48" s="2"/>
      <c r="S48" s="222"/>
      <c r="T48" s="2"/>
      <c r="U48" s="222"/>
      <c r="V48" s="2"/>
      <c r="W48" s="222"/>
      <c r="X48" s="2"/>
      <c r="Y48" s="222"/>
      <c r="Z48" s="2"/>
      <c r="AA48" s="222"/>
      <c r="AB48" s="2"/>
      <c r="AC48" s="222"/>
      <c r="AD48" s="2"/>
      <c r="AE48" s="222"/>
      <c r="AF48" s="2"/>
      <c r="AG48" s="222"/>
      <c r="AH48" s="2"/>
      <c r="AI48" s="2"/>
      <c r="AJ48" s="2"/>
      <c r="AK48" s="2"/>
      <c r="AL48" s="2"/>
      <c r="AM48" s="2"/>
      <c r="AN48" s="2"/>
      <c r="AO48" s="2"/>
      <c r="AP48" s="2"/>
      <c r="AQ48" s="2"/>
      <c r="AR48" s="2"/>
      <c r="AS48" s="2"/>
    </row>
    <row r="49" spans="1:45" x14ac:dyDescent="0.25">
      <c r="A49" s="236"/>
      <c r="B49" s="236"/>
      <c r="C49" s="2"/>
      <c r="D49" s="2"/>
      <c r="E49" s="2"/>
      <c r="F49" s="222"/>
      <c r="G49" s="2"/>
      <c r="H49" s="222"/>
      <c r="I49" s="222"/>
      <c r="J49" s="222"/>
      <c r="K49" s="222"/>
      <c r="L49" s="222"/>
      <c r="M49" s="222"/>
      <c r="N49" s="222"/>
      <c r="O49" s="222"/>
      <c r="P49" s="2"/>
      <c r="Q49" s="222"/>
      <c r="R49" s="2"/>
      <c r="S49" s="222"/>
      <c r="T49" s="2"/>
      <c r="U49" s="222"/>
      <c r="V49" s="2"/>
      <c r="W49" s="222"/>
      <c r="X49" s="2"/>
      <c r="Y49" s="222"/>
      <c r="Z49" s="2"/>
      <c r="AA49" s="222"/>
      <c r="AB49" s="2"/>
      <c r="AC49" s="222"/>
      <c r="AD49" s="2"/>
      <c r="AE49" s="222"/>
      <c r="AF49" s="2"/>
      <c r="AG49" s="222"/>
      <c r="AH49" s="2"/>
      <c r="AI49" s="2"/>
      <c r="AJ49" s="2"/>
      <c r="AK49" s="2"/>
      <c r="AL49" s="2"/>
      <c r="AM49" s="2"/>
      <c r="AN49" s="2"/>
      <c r="AO49" s="2"/>
      <c r="AP49" s="2"/>
      <c r="AQ49" s="2"/>
      <c r="AR49" s="2"/>
      <c r="AS49" s="2"/>
    </row>
    <row r="50" spans="1:45" x14ac:dyDescent="0.25">
      <c r="A50" s="236"/>
      <c r="B50" s="236"/>
      <c r="C50" s="2"/>
      <c r="D50" s="2"/>
      <c r="E50" s="2"/>
      <c r="F50" s="222"/>
      <c r="G50" s="2"/>
      <c r="H50" s="222"/>
      <c r="I50" s="222"/>
      <c r="J50" s="222"/>
      <c r="K50" s="222"/>
      <c r="L50" s="222"/>
      <c r="M50" s="222"/>
      <c r="N50" s="222"/>
      <c r="O50" s="222"/>
      <c r="P50" s="2"/>
      <c r="Q50" s="222"/>
      <c r="R50" s="2"/>
      <c r="S50" s="222"/>
      <c r="T50" s="2"/>
      <c r="U50" s="222"/>
      <c r="V50" s="2"/>
      <c r="W50" s="222"/>
      <c r="X50" s="2"/>
      <c r="Y50" s="222"/>
      <c r="Z50" s="2"/>
      <c r="AA50" s="222"/>
      <c r="AB50" s="2"/>
      <c r="AC50" s="222"/>
      <c r="AD50" s="2"/>
      <c r="AE50" s="222"/>
      <c r="AF50" s="2"/>
      <c r="AG50" s="222"/>
      <c r="AH50" s="2"/>
      <c r="AI50" s="2"/>
      <c r="AJ50" s="2"/>
      <c r="AK50" s="2"/>
      <c r="AL50" s="2"/>
      <c r="AM50" s="2"/>
      <c r="AN50" s="2"/>
      <c r="AO50" s="2"/>
      <c r="AP50" s="2"/>
      <c r="AQ50" s="2"/>
      <c r="AR50" s="2"/>
      <c r="AS50" s="2"/>
    </row>
    <row r="51" spans="1:45" x14ac:dyDescent="0.25">
      <c r="A51" s="236"/>
      <c r="B51" s="236"/>
      <c r="C51" s="2"/>
      <c r="D51" s="2"/>
      <c r="E51" s="2"/>
      <c r="F51" s="222"/>
      <c r="G51" s="2"/>
      <c r="H51" s="222"/>
      <c r="I51" s="222"/>
      <c r="J51" s="222"/>
      <c r="K51" s="222"/>
      <c r="L51" s="222"/>
      <c r="M51" s="222"/>
      <c r="N51" s="222"/>
      <c r="O51" s="222"/>
      <c r="P51" s="2"/>
      <c r="Q51" s="222"/>
      <c r="R51" s="2"/>
      <c r="S51" s="222"/>
      <c r="T51" s="2"/>
      <c r="U51" s="222"/>
      <c r="V51" s="2"/>
      <c r="W51" s="222"/>
      <c r="X51" s="2"/>
      <c r="Y51" s="222"/>
      <c r="Z51" s="2"/>
      <c r="AA51" s="222"/>
      <c r="AB51" s="2"/>
      <c r="AC51" s="222"/>
      <c r="AD51" s="2"/>
      <c r="AE51" s="222"/>
      <c r="AF51" s="2"/>
      <c r="AG51" s="222"/>
      <c r="AH51" s="2"/>
      <c r="AI51" s="2"/>
      <c r="AJ51" s="2"/>
      <c r="AK51" s="2"/>
      <c r="AL51" s="2"/>
      <c r="AM51" s="2"/>
      <c r="AN51" s="2"/>
      <c r="AO51" s="2"/>
      <c r="AP51" s="2"/>
      <c r="AQ51" s="2"/>
      <c r="AR51" s="2"/>
      <c r="AS51" s="2"/>
    </row>
    <row r="52" spans="1:45" x14ac:dyDescent="0.25">
      <c r="A52" s="236"/>
      <c r="B52" s="236"/>
      <c r="C52" s="2"/>
      <c r="D52" s="2"/>
      <c r="E52" s="2"/>
      <c r="F52" s="222"/>
      <c r="G52" s="2"/>
      <c r="H52" s="222"/>
      <c r="I52" s="222"/>
      <c r="J52" s="222"/>
      <c r="K52" s="222"/>
      <c r="L52" s="222"/>
      <c r="M52" s="222"/>
      <c r="N52" s="222"/>
      <c r="O52" s="222"/>
      <c r="P52" s="2"/>
      <c r="Q52" s="222"/>
      <c r="R52" s="2"/>
      <c r="S52" s="222"/>
      <c r="T52" s="2"/>
      <c r="U52" s="222"/>
      <c r="V52" s="2"/>
      <c r="W52" s="222"/>
      <c r="X52" s="2"/>
      <c r="Y52" s="222"/>
      <c r="Z52" s="2"/>
      <c r="AA52" s="222"/>
      <c r="AB52" s="2"/>
      <c r="AC52" s="222"/>
      <c r="AD52" s="2"/>
      <c r="AE52" s="222"/>
      <c r="AF52" s="2"/>
      <c r="AG52" s="222"/>
      <c r="AH52" s="2"/>
      <c r="AI52" s="2"/>
      <c r="AJ52" s="2"/>
      <c r="AK52" s="2"/>
      <c r="AL52" s="2"/>
      <c r="AM52" s="2"/>
      <c r="AN52" s="2"/>
      <c r="AO52" s="2"/>
      <c r="AP52" s="2"/>
      <c r="AQ52" s="2"/>
      <c r="AR52" s="2"/>
      <c r="AS52" s="2"/>
    </row>
    <row r="53" spans="1:45" x14ac:dyDescent="0.25">
      <c r="A53" s="236"/>
      <c r="B53" s="236"/>
      <c r="C53" s="2"/>
      <c r="D53" s="2"/>
      <c r="E53" s="2"/>
      <c r="F53" s="222"/>
      <c r="G53" s="2"/>
      <c r="H53" s="222"/>
      <c r="I53" s="222"/>
      <c r="J53" s="222"/>
      <c r="K53" s="222"/>
      <c r="L53" s="222"/>
      <c r="M53" s="222"/>
      <c r="N53" s="222"/>
      <c r="O53" s="222"/>
      <c r="P53" s="2"/>
      <c r="Q53" s="222"/>
      <c r="R53" s="2"/>
      <c r="S53" s="222"/>
      <c r="T53" s="2"/>
      <c r="U53" s="222"/>
      <c r="V53" s="2"/>
      <c r="W53" s="222"/>
      <c r="X53" s="2"/>
      <c r="Y53" s="222"/>
      <c r="Z53" s="2"/>
      <c r="AA53" s="222"/>
      <c r="AB53" s="2"/>
      <c r="AC53" s="222"/>
      <c r="AD53" s="2"/>
      <c r="AE53" s="222"/>
      <c r="AF53" s="2"/>
      <c r="AG53" s="222"/>
      <c r="AH53" s="2"/>
      <c r="AI53" s="2"/>
      <c r="AJ53" s="2"/>
      <c r="AK53" s="2"/>
      <c r="AL53" s="2"/>
      <c r="AM53" s="2"/>
      <c r="AN53" s="2"/>
      <c r="AO53" s="2"/>
      <c r="AP53" s="2"/>
      <c r="AQ53" s="2"/>
      <c r="AR53" s="2"/>
      <c r="AS53" s="2"/>
    </row>
    <row r="54" spans="1:45" x14ac:dyDescent="0.25">
      <c r="A54" s="236"/>
      <c r="B54" s="236"/>
      <c r="C54" s="2"/>
      <c r="D54" s="2"/>
      <c r="E54" s="2"/>
      <c r="F54" s="222"/>
      <c r="G54" s="2"/>
      <c r="H54" s="222"/>
      <c r="I54" s="222"/>
      <c r="J54" s="222"/>
      <c r="K54" s="222"/>
      <c r="L54" s="222"/>
      <c r="M54" s="222"/>
      <c r="N54" s="222"/>
      <c r="O54" s="222"/>
      <c r="P54" s="2"/>
      <c r="Q54" s="222"/>
      <c r="R54" s="2"/>
      <c r="S54" s="222"/>
      <c r="T54" s="2"/>
      <c r="U54" s="222"/>
      <c r="V54" s="2"/>
      <c r="W54" s="222"/>
      <c r="X54" s="2"/>
      <c r="Y54" s="222"/>
      <c r="Z54" s="2"/>
      <c r="AA54" s="222"/>
      <c r="AB54" s="2"/>
      <c r="AC54" s="222"/>
      <c r="AD54" s="2"/>
      <c r="AE54" s="222"/>
      <c r="AF54" s="2"/>
      <c r="AG54" s="222"/>
      <c r="AH54" s="2"/>
      <c r="AI54" s="2"/>
      <c r="AJ54" s="2"/>
      <c r="AK54" s="2"/>
      <c r="AL54" s="2"/>
      <c r="AM54" s="2"/>
      <c r="AN54" s="2"/>
      <c r="AO54" s="2"/>
      <c r="AP54" s="2"/>
      <c r="AQ54" s="2"/>
      <c r="AR54" s="2"/>
      <c r="AS54" s="2"/>
    </row>
    <row r="55" spans="1:45" x14ac:dyDescent="0.25">
      <c r="A55" s="236"/>
      <c r="B55" s="236"/>
      <c r="C55" s="2"/>
      <c r="D55" s="2"/>
      <c r="E55" s="2"/>
      <c r="F55" s="222"/>
      <c r="G55" s="2"/>
      <c r="H55" s="222"/>
      <c r="I55" s="222"/>
      <c r="J55" s="222"/>
      <c r="K55" s="222"/>
      <c r="L55" s="222"/>
      <c r="M55" s="222"/>
      <c r="N55" s="222"/>
      <c r="O55" s="222"/>
      <c r="P55" s="2"/>
      <c r="Q55" s="222"/>
      <c r="R55" s="2"/>
      <c r="S55" s="222"/>
      <c r="T55" s="2"/>
      <c r="U55" s="222"/>
      <c r="V55" s="2"/>
      <c r="W55" s="222"/>
      <c r="X55" s="2"/>
      <c r="Y55" s="222"/>
      <c r="Z55" s="2"/>
      <c r="AA55" s="222"/>
      <c r="AB55" s="2"/>
      <c r="AC55" s="222"/>
      <c r="AD55" s="2"/>
      <c r="AE55" s="222"/>
      <c r="AF55" s="2"/>
      <c r="AG55" s="222"/>
      <c r="AH55" s="2"/>
      <c r="AI55" s="2"/>
      <c r="AJ55" s="2"/>
      <c r="AK55" s="2"/>
      <c r="AL55" s="2"/>
      <c r="AM55" s="2"/>
      <c r="AN55" s="2"/>
      <c r="AO55" s="2"/>
      <c r="AP55" s="2"/>
      <c r="AQ55" s="2"/>
      <c r="AR55" s="2"/>
      <c r="AS55" s="2"/>
    </row>
    <row r="56" spans="1:45" x14ac:dyDescent="0.25">
      <c r="A56" s="236"/>
      <c r="B56" s="236"/>
      <c r="C56" s="2"/>
      <c r="D56" s="2"/>
      <c r="E56" s="2"/>
      <c r="F56" s="222"/>
      <c r="G56" s="2"/>
      <c r="H56" s="222"/>
      <c r="I56" s="222"/>
      <c r="J56" s="222"/>
      <c r="K56" s="222"/>
      <c r="L56" s="222"/>
      <c r="M56" s="222"/>
      <c r="N56" s="222"/>
      <c r="O56" s="222"/>
      <c r="P56" s="2"/>
      <c r="Q56" s="222"/>
      <c r="R56" s="2"/>
      <c r="S56" s="222"/>
      <c r="T56" s="2"/>
      <c r="U56" s="222"/>
      <c r="V56" s="2"/>
      <c r="W56" s="222"/>
      <c r="X56" s="2"/>
      <c r="Y56" s="222"/>
      <c r="Z56" s="2"/>
      <c r="AA56" s="222"/>
      <c r="AB56" s="2"/>
      <c r="AC56" s="222"/>
      <c r="AD56" s="2"/>
      <c r="AE56" s="222"/>
      <c r="AF56" s="2"/>
      <c r="AG56" s="222"/>
      <c r="AH56" s="2"/>
      <c r="AI56" s="2"/>
      <c r="AJ56" s="2"/>
      <c r="AK56" s="2"/>
      <c r="AL56" s="2"/>
      <c r="AM56" s="2"/>
      <c r="AN56" s="2"/>
      <c r="AO56" s="2"/>
      <c r="AP56" s="2"/>
      <c r="AQ56" s="2"/>
      <c r="AR56" s="2"/>
      <c r="AS56" s="2"/>
    </row>
    <row r="57" spans="1:45" x14ac:dyDescent="0.25">
      <c r="A57" s="236"/>
      <c r="B57" s="236"/>
      <c r="C57" s="2"/>
      <c r="D57" s="2"/>
      <c r="E57" s="2"/>
      <c r="F57" s="222"/>
      <c r="G57" s="2"/>
      <c r="H57" s="222"/>
      <c r="I57" s="222"/>
      <c r="J57" s="222"/>
      <c r="K57" s="222"/>
      <c r="L57" s="222"/>
      <c r="M57" s="222"/>
      <c r="N57" s="222"/>
      <c r="O57" s="222"/>
      <c r="P57" s="2"/>
      <c r="Q57" s="222"/>
      <c r="R57" s="2"/>
      <c r="S57" s="222"/>
      <c r="T57" s="2"/>
      <c r="U57" s="222"/>
      <c r="V57" s="2"/>
      <c r="W57" s="222"/>
      <c r="X57" s="2"/>
      <c r="Y57" s="222"/>
      <c r="Z57" s="2"/>
      <c r="AA57" s="222"/>
      <c r="AB57" s="2"/>
      <c r="AC57" s="222"/>
      <c r="AD57" s="2"/>
      <c r="AE57" s="222"/>
      <c r="AF57" s="2"/>
      <c r="AG57" s="222"/>
      <c r="AH57" s="2"/>
      <c r="AI57" s="2"/>
      <c r="AJ57" s="2"/>
      <c r="AK57" s="2"/>
      <c r="AL57" s="2"/>
      <c r="AM57" s="2"/>
      <c r="AN57" s="2"/>
      <c r="AO57" s="2"/>
      <c r="AP57" s="2"/>
      <c r="AQ57" s="2"/>
      <c r="AR57" s="2"/>
      <c r="AS57" s="2"/>
    </row>
    <row r="58" spans="1:45" x14ac:dyDescent="0.25">
      <c r="A58" s="236"/>
      <c r="B58" s="236"/>
      <c r="C58" s="2"/>
      <c r="D58" s="2"/>
      <c r="E58" s="2"/>
      <c r="F58" s="222"/>
      <c r="G58" s="2"/>
      <c r="H58" s="222"/>
      <c r="I58" s="222"/>
      <c r="J58" s="222"/>
      <c r="K58" s="222"/>
      <c r="L58" s="222"/>
      <c r="M58" s="222"/>
      <c r="N58" s="222"/>
      <c r="O58" s="222"/>
      <c r="P58" s="2"/>
      <c r="Q58" s="222"/>
      <c r="R58" s="2"/>
      <c r="S58" s="222"/>
      <c r="T58" s="2"/>
      <c r="U58" s="222"/>
      <c r="V58" s="2"/>
      <c r="W58" s="222"/>
      <c r="X58" s="2"/>
      <c r="Y58" s="222"/>
      <c r="Z58" s="2"/>
      <c r="AA58" s="222"/>
      <c r="AB58" s="2"/>
      <c r="AC58" s="222"/>
      <c r="AD58" s="2"/>
      <c r="AE58" s="222"/>
      <c r="AF58" s="2"/>
      <c r="AG58" s="222"/>
      <c r="AH58" s="2"/>
      <c r="AI58" s="2"/>
      <c r="AJ58" s="2"/>
      <c r="AK58" s="2"/>
      <c r="AL58" s="2"/>
      <c r="AM58" s="2"/>
      <c r="AN58" s="2"/>
      <c r="AO58" s="2"/>
      <c r="AP58" s="2"/>
      <c r="AQ58" s="2"/>
      <c r="AR58" s="2"/>
      <c r="AS58" s="2"/>
    </row>
    <row r="59" spans="1:45" x14ac:dyDescent="0.25">
      <c r="A59" s="236"/>
      <c r="B59" s="236"/>
      <c r="C59" s="2"/>
      <c r="D59" s="2"/>
      <c r="E59" s="2"/>
      <c r="F59" s="222"/>
      <c r="G59" s="2"/>
      <c r="H59" s="222"/>
      <c r="I59" s="222"/>
      <c r="J59" s="222"/>
      <c r="K59" s="222"/>
      <c r="L59" s="222"/>
      <c r="M59" s="222"/>
      <c r="N59" s="222"/>
      <c r="O59" s="222"/>
      <c r="P59" s="2"/>
      <c r="Q59" s="222"/>
      <c r="R59" s="2"/>
      <c r="S59" s="222"/>
      <c r="T59" s="2"/>
      <c r="U59" s="222"/>
      <c r="V59" s="2"/>
      <c r="W59" s="222"/>
      <c r="X59" s="2"/>
      <c r="Y59" s="222"/>
      <c r="Z59" s="2"/>
      <c r="AA59" s="222"/>
      <c r="AB59" s="2"/>
      <c r="AC59" s="222"/>
      <c r="AD59" s="2"/>
      <c r="AE59" s="222"/>
      <c r="AF59" s="2"/>
      <c r="AG59" s="222"/>
      <c r="AH59" s="2"/>
      <c r="AI59" s="2"/>
      <c r="AJ59" s="2"/>
      <c r="AK59" s="2"/>
      <c r="AL59" s="2"/>
      <c r="AM59" s="2"/>
      <c r="AN59" s="2"/>
      <c r="AO59" s="2"/>
      <c r="AP59" s="2"/>
      <c r="AQ59" s="2"/>
      <c r="AR59" s="2"/>
      <c r="AS59" s="2"/>
    </row>
    <row r="60" spans="1:45" x14ac:dyDescent="0.25">
      <c r="A60" s="236"/>
      <c r="B60" s="236"/>
      <c r="C60" s="2"/>
      <c r="D60" s="2"/>
      <c r="E60" s="2"/>
      <c r="F60" s="222"/>
      <c r="G60" s="2"/>
      <c r="H60" s="222"/>
      <c r="I60" s="222"/>
      <c r="J60" s="222"/>
      <c r="K60" s="222"/>
      <c r="L60" s="222"/>
      <c r="M60" s="222"/>
      <c r="N60" s="222"/>
      <c r="O60" s="222"/>
      <c r="P60" s="2"/>
      <c r="Q60" s="222"/>
      <c r="R60" s="2"/>
      <c r="S60" s="222"/>
      <c r="T60" s="2"/>
      <c r="U60" s="222"/>
      <c r="V60" s="2"/>
      <c r="W60" s="222"/>
      <c r="X60" s="2"/>
      <c r="Y60" s="222"/>
      <c r="Z60" s="2"/>
      <c r="AA60" s="222"/>
      <c r="AB60" s="2"/>
      <c r="AC60" s="222"/>
      <c r="AD60" s="2"/>
      <c r="AE60" s="222"/>
      <c r="AF60" s="2"/>
      <c r="AG60" s="222"/>
      <c r="AH60" s="2"/>
      <c r="AI60" s="2"/>
      <c r="AJ60" s="2"/>
      <c r="AK60" s="2"/>
      <c r="AL60" s="2"/>
      <c r="AM60" s="2"/>
      <c r="AN60" s="2"/>
      <c r="AO60" s="2"/>
      <c r="AP60" s="2"/>
      <c r="AQ60" s="2"/>
      <c r="AR60" s="2"/>
      <c r="AS60" s="2"/>
    </row>
    <row r="61" spans="1:45" x14ac:dyDescent="0.25">
      <c r="A61" s="236"/>
      <c r="B61" s="236"/>
      <c r="C61" s="2"/>
      <c r="D61" s="2"/>
      <c r="E61" s="2"/>
      <c r="F61" s="222"/>
      <c r="G61" s="2"/>
      <c r="H61" s="222"/>
      <c r="I61" s="222"/>
      <c r="J61" s="222"/>
      <c r="K61" s="222"/>
      <c r="L61" s="222"/>
      <c r="M61" s="222"/>
      <c r="N61" s="222"/>
      <c r="O61" s="222"/>
      <c r="P61" s="2"/>
      <c r="Q61" s="222"/>
      <c r="R61" s="2"/>
      <c r="S61" s="222"/>
      <c r="T61" s="2"/>
      <c r="U61" s="222"/>
      <c r="V61" s="2"/>
      <c r="W61" s="222"/>
      <c r="X61" s="2"/>
      <c r="Y61" s="222"/>
      <c r="Z61" s="2"/>
      <c r="AA61" s="222"/>
      <c r="AB61" s="2"/>
      <c r="AC61" s="222"/>
      <c r="AD61" s="2"/>
      <c r="AE61" s="222"/>
      <c r="AF61" s="2"/>
      <c r="AG61" s="222"/>
      <c r="AH61" s="2"/>
      <c r="AI61" s="2"/>
      <c r="AJ61" s="2"/>
      <c r="AK61" s="2"/>
      <c r="AL61" s="2"/>
      <c r="AM61" s="2"/>
      <c r="AN61" s="2"/>
      <c r="AO61" s="2"/>
      <c r="AP61" s="2"/>
      <c r="AQ61" s="2"/>
      <c r="AR61" s="2"/>
      <c r="AS61" s="2"/>
    </row>
    <row r="62" spans="1:45" x14ac:dyDescent="0.25">
      <c r="A62" s="236"/>
      <c r="B62" s="236"/>
      <c r="C62" s="2"/>
      <c r="D62" s="2"/>
      <c r="E62" s="2"/>
      <c r="F62" s="222"/>
      <c r="G62" s="2"/>
      <c r="H62" s="222"/>
      <c r="I62" s="222"/>
      <c r="J62" s="222"/>
      <c r="K62" s="222"/>
      <c r="L62" s="222"/>
      <c r="M62" s="222"/>
      <c r="N62" s="222"/>
      <c r="O62" s="222"/>
      <c r="P62" s="2"/>
      <c r="Q62" s="222"/>
      <c r="R62" s="2"/>
      <c r="S62" s="222"/>
      <c r="T62" s="2"/>
      <c r="U62" s="222"/>
      <c r="V62" s="2"/>
      <c r="W62" s="222"/>
      <c r="X62" s="2"/>
      <c r="Y62" s="222"/>
      <c r="Z62" s="2"/>
      <c r="AA62" s="222"/>
      <c r="AB62" s="2"/>
      <c r="AC62" s="222"/>
      <c r="AD62" s="2"/>
      <c r="AE62" s="222"/>
      <c r="AF62" s="2"/>
      <c r="AG62" s="222"/>
      <c r="AH62" s="2"/>
      <c r="AI62" s="2"/>
      <c r="AJ62" s="2"/>
      <c r="AK62" s="2"/>
      <c r="AL62" s="2"/>
      <c r="AM62" s="2"/>
      <c r="AN62" s="2"/>
      <c r="AO62" s="2"/>
      <c r="AP62" s="2"/>
      <c r="AQ62" s="2"/>
      <c r="AR62" s="2"/>
      <c r="AS62" s="2"/>
    </row>
    <row r="63" spans="1:45" x14ac:dyDescent="0.25">
      <c r="A63" s="236"/>
      <c r="B63" s="236"/>
      <c r="C63" s="2"/>
      <c r="D63" s="2"/>
      <c r="E63" s="2"/>
      <c r="F63" s="222"/>
      <c r="G63" s="2"/>
      <c r="H63" s="222"/>
      <c r="I63" s="222"/>
      <c r="J63" s="222"/>
      <c r="K63" s="222"/>
      <c r="L63" s="222"/>
      <c r="M63" s="222"/>
      <c r="N63" s="222"/>
      <c r="O63" s="222"/>
      <c r="P63" s="2"/>
      <c r="Q63" s="222"/>
      <c r="R63" s="2"/>
      <c r="S63" s="222"/>
      <c r="T63" s="2"/>
      <c r="U63" s="222"/>
      <c r="V63" s="2"/>
      <c r="W63" s="222"/>
      <c r="X63" s="2"/>
      <c r="Y63" s="222"/>
      <c r="Z63" s="2"/>
      <c r="AA63" s="222"/>
      <c r="AB63" s="2"/>
      <c r="AC63" s="222"/>
      <c r="AD63" s="2"/>
      <c r="AE63" s="222"/>
      <c r="AF63" s="2"/>
      <c r="AG63" s="222"/>
      <c r="AH63" s="2"/>
      <c r="AI63" s="2"/>
      <c r="AJ63" s="2"/>
      <c r="AK63" s="2"/>
      <c r="AL63" s="2"/>
      <c r="AM63" s="2"/>
      <c r="AN63" s="2"/>
      <c r="AO63" s="2"/>
      <c r="AP63" s="2"/>
      <c r="AQ63" s="2"/>
      <c r="AR63" s="2"/>
      <c r="AS63" s="2"/>
    </row>
    <row r="64" spans="1:45" x14ac:dyDescent="0.25">
      <c r="A64" s="236"/>
      <c r="B64" s="236"/>
      <c r="C64" s="2"/>
      <c r="D64" s="2"/>
      <c r="E64" s="2"/>
      <c r="F64" s="222"/>
      <c r="G64" s="2"/>
      <c r="H64" s="222"/>
      <c r="I64" s="222"/>
      <c r="J64" s="222"/>
      <c r="K64" s="222"/>
      <c r="L64" s="222"/>
      <c r="M64" s="222"/>
      <c r="N64" s="222"/>
      <c r="O64" s="222"/>
      <c r="P64" s="2"/>
      <c r="Q64" s="222"/>
      <c r="R64" s="2"/>
      <c r="S64" s="222"/>
      <c r="T64" s="2"/>
      <c r="U64" s="222"/>
      <c r="V64" s="2"/>
      <c r="W64" s="222"/>
      <c r="X64" s="2"/>
      <c r="Y64" s="222"/>
      <c r="Z64" s="2"/>
      <c r="AA64" s="222"/>
      <c r="AB64" s="2"/>
      <c r="AC64" s="222"/>
      <c r="AD64" s="2"/>
      <c r="AE64" s="222"/>
      <c r="AF64" s="2"/>
      <c r="AG64" s="222"/>
      <c r="AH64" s="2"/>
      <c r="AI64" s="2"/>
      <c r="AJ64" s="2"/>
      <c r="AK64" s="2"/>
      <c r="AL64" s="2"/>
      <c r="AM64" s="2"/>
      <c r="AN64" s="2"/>
      <c r="AO64" s="2"/>
      <c r="AP64" s="2"/>
      <c r="AQ64" s="2"/>
      <c r="AR64" s="2"/>
      <c r="AS64" s="2"/>
    </row>
    <row r="65" spans="1:45" x14ac:dyDescent="0.25">
      <c r="A65" s="236"/>
      <c r="B65" s="236"/>
      <c r="C65" s="2"/>
      <c r="D65" s="2"/>
      <c r="E65" s="2"/>
      <c r="F65" s="222"/>
      <c r="G65" s="2"/>
      <c r="H65" s="222"/>
      <c r="I65" s="222"/>
      <c r="J65" s="222"/>
      <c r="K65" s="222"/>
      <c r="L65" s="222"/>
      <c r="M65" s="222"/>
      <c r="N65" s="222"/>
      <c r="O65" s="222"/>
      <c r="P65" s="2"/>
      <c r="Q65" s="222"/>
      <c r="R65" s="2"/>
      <c r="S65" s="222"/>
      <c r="T65" s="2"/>
      <c r="U65" s="222"/>
      <c r="V65" s="2"/>
      <c r="W65" s="222"/>
      <c r="X65" s="2"/>
      <c r="Y65" s="222"/>
      <c r="Z65" s="2"/>
      <c r="AA65" s="222"/>
      <c r="AB65" s="2"/>
      <c r="AC65" s="222"/>
      <c r="AD65" s="2"/>
      <c r="AE65" s="222"/>
      <c r="AF65" s="2"/>
      <c r="AG65" s="222"/>
      <c r="AH65" s="2"/>
      <c r="AI65" s="2"/>
      <c r="AJ65" s="2"/>
      <c r="AK65" s="2"/>
      <c r="AL65" s="2"/>
      <c r="AM65" s="2"/>
      <c r="AN65" s="2"/>
      <c r="AO65" s="2"/>
      <c r="AP65" s="2"/>
      <c r="AQ65" s="2"/>
      <c r="AR65" s="2"/>
      <c r="AS65" s="2"/>
    </row>
    <row r="66" spans="1:45" x14ac:dyDescent="0.25">
      <c r="A66" s="236"/>
      <c r="B66" s="236"/>
      <c r="C66" s="2"/>
      <c r="D66" s="2"/>
      <c r="E66" s="2"/>
      <c r="F66" s="222"/>
      <c r="G66" s="2"/>
      <c r="H66" s="222"/>
      <c r="I66" s="222"/>
      <c r="J66" s="222"/>
      <c r="K66" s="222"/>
      <c r="L66" s="222"/>
      <c r="M66" s="222"/>
      <c r="N66" s="222"/>
      <c r="O66" s="222"/>
      <c r="P66" s="2"/>
      <c r="Q66" s="222"/>
      <c r="R66" s="2"/>
      <c r="S66" s="222"/>
      <c r="T66" s="2"/>
      <c r="U66" s="222"/>
      <c r="V66" s="2"/>
      <c r="W66" s="222"/>
      <c r="X66" s="2"/>
      <c r="Y66" s="222"/>
      <c r="Z66" s="2"/>
      <c r="AA66" s="222"/>
      <c r="AB66" s="2"/>
      <c r="AC66" s="222"/>
      <c r="AD66" s="2"/>
      <c r="AE66" s="222"/>
      <c r="AF66" s="2"/>
      <c r="AG66" s="222"/>
      <c r="AH66" s="2"/>
      <c r="AI66" s="2"/>
      <c r="AJ66" s="2"/>
      <c r="AK66" s="2"/>
      <c r="AL66" s="2"/>
      <c r="AM66" s="2"/>
      <c r="AN66" s="2"/>
      <c r="AO66" s="2"/>
      <c r="AP66" s="2"/>
      <c r="AQ66" s="2"/>
      <c r="AR66" s="2"/>
      <c r="AS66" s="2"/>
    </row>
    <row r="67" spans="1:45" x14ac:dyDescent="0.25">
      <c r="A67" s="236"/>
      <c r="B67" s="236"/>
      <c r="C67" s="2"/>
      <c r="D67" s="2"/>
      <c r="E67" s="2"/>
      <c r="F67" s="222"/>
      <c r="G67" s="2"/>
      <c r="H67" s="222"/>
      <c r="I67" s="222"/>
      <c r="J67" s="222"/>
      <c r="K67" s="222"/>
      <c r="L67" s="222"/>
      <c r="M67" s="222"/>
      <c r="N67" s="222"/>
      <c r="O67" s="222"/>
      <c r="P67" s="2"/>
      <c r="Q67" s="222"/>
      <c r="R67" s="2"/>
      <c r="S67" s="222"/>
      <c r="T67" s="2"/>
      <c r="U67" s="222"/>
      <c r="V67" s="2"/>
      <c r="W67" s="222"/>
      <c r="X67" s="2"/>
      <c r="Y67" s="222"/>
      <c r="Z67" s="2"/>
      <c r="AA67" s="222"/>
      <c r="AB67" s="2"/>
      <c r="AC67" s="222"/>
      <c r="AD67" s="2"/>
      <c r="AE67" s="222"/>
      <c r="AF67" s="2"/>
      <c r="AG67" s="222"/>
      <c r="AH67" s="2"/>
      <c r="AI67" s="2"/>
      <c r="AJ67" s="2"/>
      <c r="AK67" s="2"/>
      <c r="AL67" s="2"/>
      <c r="AM67" s="2"/>
      <c r="AN67" s="2"/>
      <c r="AO67" s="2"/>
      <c r="AP67" s="2"/>
      <c r="AQ67" s="2"/>
      <c r="AR67" s="2"/>
      <c r="AS67" s="2"/>
    </row>
    <row r="68" spans="1:45" x14ac:dyDescent="0.25">
      <c r="A68" s="236"/>
      <c r="B68" s="236"/>
      <c r="C68" s="2"/>
      <c r="D68" s="2"/>
      <c r="E68" s="2"/>
      <c r="F68" s="222"/>
      <c r="G68" s="2"/>
      <c r="H68" s="222"/>
      <c r="I68" s="222"/>
      <c r="J68" s="222"/>
      <c r="K68" s="222"/>
      <c r="L68" s="222"/>
      <c r="M68" s="222"/>
      <c r="N68" s="222"/>
      <c r="O68" s="222"/>
      <c r="P68" s="2"/>
      <c r="Q68" s="222"/>
      <c r="R68" s="2"/>
      <c r="S68" s="222"/>
      <c r="T68" s="2"/>
      <c r="U68" s="222"/>
      <c r="V68" s="2"/>
      <c r="W68" s="222"/>
      <c r="X68" s="2"/>
      <c r="Y68" s="222"/>
      <c r="Z68" s="2"/>
      <c r="AA68" s="222"/>
      <c r="AB68" s="2"/>
      <c r="AC68" s="222"/>
      <c r="AD68" s="2"/>
      <c r="AE68" s="222"/>
      <c r="AF68" s="2"/>
      <c r="AG68" s="222"/>
      <c r="AH68" s="2"/>
      <c r="AI68" s="2"/>
      <c r="AJ68" s="2"/>
      <c r="AK68" s="2"/>
      <c r="AL68" s="2"/>
      <c r="AM68" s="2"/>
      <c r="AN68" s="2"/>
      <c r="AO68" s="2"/>
      <c r="AP68" s="2"/>
      <c r="AQ68" s="2"/>
      <c r="AR68" s="2"/>
      <c r="AS68" s="2"/>
    </row>
    <row r="69" spans="1:45" x14ac:dyDescent="0.25">
      <c r="A69" s="236"/>
      <c r="B69" s="236"/>
      <c r="C69" s="2"/>
      <c r="D69" s="2"/>
      <c r="E69" s="2"/>
      <c r="F69" s="222"/>
      <c r="G69" s="2"/>
      <c r="H69" s="222"/>
      <c r="I69" s="222"/>
      <c r="J69" s="222"/>
      <c r="K69" s="222"/>
      <c r="L69" s="222"/>
      <c r="M69" s="222"/>
      <c r="N69" s="222"/>
      <c r="O69" s="222"/>
      <c r="P69" s="2"/>
      <c r="Q69" s="222"/>
      <c r="R69" s="2"/>
      <c r="S69" s="222"/>
      <c r="T69" s="2"/>
      <c r="U69" s="222"/>
      <c r="V69" s="2"/>
      <c r="W69" s="222"/>
      <c r="X69" s="2"/>
      <c r="Y69" s="222"/>
      <c r="Z69" s="2"/>
      <c r="AA69" s="222"/>
      <c r="AB69" s="2"/>
      <c r="AC69" s="222"/>
      <c r="AD69" s="2"/>
      <c r="AE69" s="222"/>
      <c r="AF69" s="2"/>
      <c r="AG69" s="222"/>
      <c r="AH69" s="2"/>
      <c r="AI69" s="2"/>
      <c r="AJ69" s="2"/>
      <c r="AK69" s="2"/>
      <c r="AL69" s="2"/>
      <c r="AM69" s="2"/>
      <c r="AN69" s="2"/>
      <c r="AO69" s="2"/>
      <c r="AP69" s="2"/>
      <c r="AQ69" s="2"/>
      <c r="AR69" s="2"/>
      <c r="AS69" s="2"/>
    </row>
    <row r="70" spans="1:45" x14ac:dyDescent="0.25">
      <c r="A70" s="236"/>
      <c r="B70" s="236"/>
      <c r="C70" s="2"/>
      <c r="D70" s="2"/>
      <c r="E70" s="2"/>
      <c r="F70" s="222"/>
      <c r="G70" s="2"/>
      <c r="H70" s="222"/>
      <c r="I70" s="222"/>
      <c r="J70" s="222"/>
      <c r="K70" s="222"/>
      <c r="L70" s="222"/>
      <c r="M70" s="222"/>
      <c r="N70" s="222"/>
      <c r="O70" s="222"/>
      <c r="P70" s="2"/>
      <c r="Q70" s="222"/>
      <c r="R70" s="2"/>
      <c r="S70" s="222"/>
      <c r="T70" s="2"/>
      <c r="U70" s="222"/>
      <c r="V70" s="2"/>
      <c r="W70" s="222"/>
      <c r="X70" s="2"/>
      <c r="Y70" s="222"/>
      <c r="Z70" s="2"/>
      <c r="AA70" s="222"/>
      <c r="AB70" s="2"/>
      <c r="AC70" s="222"/>
      <c r="AD70" s="2"/>
      <c r="AE70" s="222"/>
      <c r="AF70" s="2"/>
      <c r="AG70" s="222"/>
      <c r="AH70" s="2"/>
      <c r="AI70" s="2"/>
      <c r="AJ70" s="2"/>
      <c r="AK70" s="2"/>
      <c r="AL70" s="2"/>
      <c r="AM70" s="2"/>
      <c r="AN70" s="2"/>
      <c r="AO70" s="2"/>
      <c r="AP70" s="2"/>
      <c r="AQ70" s="2"/>
      <c r="AR70" s="2"/>
      <c r="AS70" s="2"/>
    </row>
    <row r="71" spans="1:45" x14ac:dyDescent="0.25">
      <c r="A71" s="236"/>
      <c r="B71" s="236"/>
      <c r="C71" s="2"/>
      <c r="D71" s="2"/>
      <c r="E71" s="2"/>
      <c r="F71" s="222"/>
      <c r="G71" s="2"/>
      <c r="H71" s="222"/>
      <c r="I71" s="222"/>
      <c r="J71" s="222"/>
      <c r="K71" s="222"/>
      <c r="L71" s="222"/>
      <c r="M71" s="222"/>
      <c r="N71" s="222"/>
      <c r="O71" s="222"/>
      <c r="P71" s="2"/>
      <c r="Q71" s="222"/>
      <c r="R71" s="2"/>
      <c r="S71" s="222"/>
      <c r="T71" s="2"/>
      <c r="U71" s="222"/>
      <c r="V71" s="2"/>
      <c r="W71" s="222"/>
      <c r="X71" s="2"/>
      <c r="Y71" s="222"/>
      <c r="Z71" s="2"/>
      <c r="AA71" s="222"/>
      <c r="AB71" s="2"/>
      <c r="AC71" s="222"/>
      <c r="AD71" s="2"/>
      <c r="AE71" s="222"/>
      <c r="AF71" s="2"/>
      <c r="AG71" s="222"/>
      <c r="AH71" s="2"/>
      <c r="AI71" s="2"/>
      <c r="AJ71" s="2"/>
      <c r="AK71" s="2"/>
      <c r="AL71" s="2"/>
      <c r="AM71" s="2"/>
      <c r="AN71" s="2"/>
      <c r="AO71" s="2"/>
      <c r="AP71" s="2"/>
      <c r="AQ71" s="2"/>
      <c r="AR71" s="2"/>
      <c r="AS71" s="2"/>
    </row>
    <row r="72" spans="1:45" x14ac:dyDescent="0.25">
      <c r="A72" s="236"/>
      <c r="B72" s="236"/>
      <c r="C72" s="2"/>
      <c r="D72" s="2"/>
      <c r="E72" s="2"/>
      <c r="F72" s="222"/>
      <c r="G72" s="2"/>
      <c r="H72" s="222"/>
      <c r="I72" s="222"/>
      <c r="J72" s="222"/>
      <c r="K72" s="222"/>
      <c r="L72" s="222"/>
      <c r="M72" s="222"/>
      <c r="N72" s="222"/>
      <c r="O72" s="222"/>
      <c r="P72" s="2"/>
      <c r="Q72" s="222"/>
      <c r="R72" s="2"/>
      <c r="S72" s="222"/>
      <c r="T72" s="2"/>
      <c r="U72" s="222"/>
      <c r="V72" s="2"/>
      <c r="W72" s="222"/>
      <c r="X72" s="2"/>
      <c r="Y72" s="222"/>
      <c r="Z72" s="2"/>
      <c r="AA72" s="222"/>
      <c r="AB72" s="2"/>
      <c r="AC72" s="222"/>
      <c r="AD72" s="2"/>
      <c r="AE72" s="222"/>
      <c r="AF72" s="2"/>
      <c r="AG72" s="222"/>
      <c r="AH72" s="2"/>
      <c r="AI72" s="2"/>
      <c r="AJ72" s="2"/>
      <c r="AK72" s="2"/>
      <c r="AL72" s="2"/>
      <c r="AM72" s="2"/>
      <c r="AN72" s="2"/>
      <c r="AO72" s="2"/>
      <c r="AP72" s="2"/>
      <c r="AQ72" s="2"/>
      <c r="AR72" s="2"/>
      <c r="AS72" s="2"/>
    </row>
    <row r="73" spans="1:45" x14ac:dyDescent="0.25">
      <c r="A73" s="236"/>
      <c r="B73" s="236"/>
      <c r="C73" s="2"/>
      <c r="D73" s="2"/>
      <c r="E73" s="2"/>
      <c r="F73" s="222"/>
      <c r="G73" s="2"/>
      <c r="H73" s="222"/>
      <c r="I73" s="222"/>
      <c r="J73" s="222"/>
      <c r="K73" s="222"/>
      <c r="L73" s="222"/>
      <c r="M73" s="222"/>
      <c r="N73" s="222"/>
      <c r="O73" s="222"/>
      <c r="P73" s="2"/>
      <c r="Q73" s="222"/>
      <c r="R73" s="2"/>
      <c r="S73" s="222"/>
      <c r="T73" s="2"/>
      <c r="U73" s="222"/>
      <c r="V73" s="2"/>
      <c r="W73" s="222"/>
      <c r="X73" s="2"/>
      <c r="Y73" s="222"/>
      <c r="Z73" s="2"/>
      <c r="AA73" s="222"/>
      <c r="AB73" s="2"/>
      <c r="AC73" s="222"/>
      <c r="AD73" s="2"/>
      <c r="AE73" s="222"/>
      <c r="AF73" s="2"/>
      <c r="AG73" s="222"/>
      <c r="AH73" s="2"/>
      <c r="AI73" s="2"/>
      <c r="AJ73" s="2"/>
      <c r="AK73" s="2"/>
      <c r="AL73" s="2"/>
      <c r="AM73" s="2"/>
      <c r="AN73" s="2"/>
      <c r="AO73" s="2"/>
      <c r="AP73" s="2"/>
      <c r="AQ73" s="2"/>
      <c r="AR73" s="2"/>
      <c r="AS73" s="2"/>
    </row>
    <row r="74" spans="1:45" x14ac:dyDescent="0.25">
      <c r="A74" s="236"/>
      <c r="B74" s="236"/>
      <c r="C74" s="2"/>
      <c r="D74" s="2"/>
      <c r="E74" s="2"/>
      <c r="F74" s="222"/>
      <c r="G74" s="2"/>
      <c r="H74" s="222"/>
      <c r="I74" s="222"/>
      <c r="J74" s="222"/>
      <c r="K74" s="222"/>
      <c r="L74" s="222"/>
      <c r="M74" s="222"/>
      <c r="N74" s="222"/>
      <c r="O74" s="222"/>
      <c r="P74" s="2"/>
      <c r="Q74" s="222"/>
      <c r="R74" s="2"/>
      <c r="S74" s="222"/>
      <c r="T74" s="2"/>
      <c r="U74" s="222"/>
      <c r="V74" s="2"/>
      <c r="W74" s="222"/>
      <c r="X74" s="2"/>
      <c r="Y74" s="222"/>
      <c r="Z74" s="2"/>
      <c r="AA74" s="222"/>
      <c r="AB74" s="2"/>
      <c r="AC74" s="222"/>
      <c r="AD74" s="2"/>
      <c r="AE74" s="222"/>
      <c r="AF74" s="2"/>
      <c r="AG74" s="222"/>
      <c r="AH74" s="2"/>
      <c r="AI74" s="2"/>
      <c r="AJ74" s="2"/>
      <c r="AK74" s="2"/>
      <c r="AL74" s="2"/>
      <c r="AM74" s="2"/>
      <c r="AN74" s="2"/>
      <c r="AO74" s="2"/>
      <c r="AP74" s="2"/>
      <c r="AQ74" s="2"/>
      <c r="AR74" s="2"/>
      <c r="AS74" s="2"/>
    </row>
    <row r="75" spans="1:45" x14ac:dyDescent="0.25">
      <c r="A75" s="236"/>
      <c r="B75" s="236"/>
      <c r="C75" s="2"/>
      <c r="D75" s="2"/>
      <c r="E75" s="2"/>
      <c r="F75" s="222"/>
      <c r="G75" s="2"/>
      <c r="H75" s="222"/>
      <c r="I75" s="222"/>
      <c r="J75" s="222"/>
      <c r="K75" s="222"/>
      <c r="L75" s="222"/>
      <c r="M75" s="222"/>
      <c r="N75" s="222"/>
      <c r="O75" s="222"/>
      <c r="P75" s="2"/>
      <c r="Q75" s="222"/>
      <c r="R75" s="2"/>
      <c r="S75" s="222"/>
      <c r="T75" s="2"/>
      <c r="U75" s="222"/>
      <c r="V75" s="2"/>
      <c r="W75" s="222"/>
      <c r="X75" s="2"/>
      <c r="Y75" s="222"/>
      <c r="Z75" s="2"/>
      <c r="AA75" s="222"/>
      <c r="AB75" s="2"/>
      <c r="AC75" s="222"/>
      <c r="AD75" s="2"/>
      <c r="AE75" s="222"/>
      <c r="AF75" s="2"/>
      <c r="AG75" s="222"/>
      <c r="AH75" s="2"/>
      <c r="AI75" s="2"/>
      <c r="AJ75" s="2"/>
      <c r="AK75" s="2"/>
      <c r="AL75" s="2"/>
      <c r="AM75" s="2"/>
      <c r="AN75" s="2"/>
      <c r="AO75" s="2"/>
      <c r="AP75" s="2"/>
      <c r="AQ75" s="2"/>
      <c r="AR75" s="2"/>
      <c r="AS75" s="2"/>
    </row>
    <row r="76" spans="1:45" x14ac:dyDescent="0.25">
      <c r="A76" s="236"/>
      <c r="B76" s="236"/>
      <c r="C76" s="2"/>
      <c r="D76" s="2"/>
      <c r="E76" s="2"/>
      <c r="F76" s="222"/>
      <c r="G76" s="2"/>
      <c r="H76" s="222"/>
      <c r="I76" s="222"/>
      <c r="J76" s="222"/>
      <c r="K76" s="222"/>
      <c r="L76" s="222"/>
      <c r="M76" s="222"/>
      <c r="N76" s="222"/>
      <c r="O76" s="222"/>
      <c r="P76" s="2"/>
      <c r="Q76" s="222"/>
      <c r="R76" s="2"/>
      <c r="S76" s="222"/>
      <c r="T76" s="2"/>
      <c r="U76" s="222"/>
      <c r="V76" s="2"/>
      <c r="W76" s="222"/>
      <c r="X76" s="2"/>
      <c r="Y76" s="222"/>
      <c r="Z76" s="2"/>
      <c r="AA76" s="222"/>
      <c r="AB76" s="2"/>
      <c r="AC76" s="222"/>
      <c r="AD76" s="2"/>
      <c r="AE76" s="222"/>
      <c r="AF76" s="2"/>
      <c r="AG76" s="222"/>
      <c r="AH76" s="2"/>
      <c r="AI76" s="2"/>
      <c r="AJ76" s="2"/>
      <c r="AK76" s="2"/>
      <c r="AL76" s="2"/>
      <c r="AM76" s="2"/>
      <c r="AN76" s="2"/>
      <c r="AO76" s="2"/>
      <c r="AP76" s="2"/>
      <c r="AQ76" s="2"/>
      <c r="AR76" s="2"/>
      <c r="AS76" s="2"/>
    </row>
    <row r="77" spans="1:45" x14ac:dyDescent="0.25">
      <c r="A77" s="236"/>
      <c r="B77" s="236"/>
      <c r="C77" s="2"/>
      <c r="D77" s="2"/>
      <c r="E77" s="2"/>
      <c r="F77" s="222"/>
      <c r="G77" s="2"/>
      <c r="H77" s="222"/>
      <c r="I77" s="222"/>
      <c r="J77" s="222"/>
      <c r="K77" s="222"/>
      <c r="L77" s="222"/>
      <c r="M77" s="222"/>
      <c r="N77" s="222"/>
      <c r="O77" s="222"/>
      <c r="P77" s="2"/>
      <c r="Q77" s="222"/>
      <c r="R77" s="2"/>
      <c r="S77" s="222"/>
      <c r="T77" s="2"/>
      <c r="U77" s="222"/>
      <c r="V77" s="2"/>
      <c r="W77" s="222"/>
      <c r="X77" s="2"/>
      <c r="Y77" s="222"/>
      <c r="Z77" s="2"/>
      <c r="AA77" s="222"/>
      <c r="AB77" s="2"/>
      <c r="AC77" s="222"/>
      <c r="AD77" s="2"/>
      <c r="AE77" s="222"/>
      <c r="AF77" s="2"/>
      <c r="AG77" s="222"/>
      <c r="AH77" s="2"/>
      <c r="AI77" s="2"/>
      <c r="AJ77" s="2"/>
      <c r="AK77" s="2"/>
      <c r="AL77" s="2"/>
      <c r="AM77" s="2"/>
      <c r="AN77" s="2"/>
      <c r="AO77" s="2"/>
      <c r="AP77" s="2"/>
      <c r="AQ77" s="2"/>
      <c r="AR77" s="2"/>
      <c r="AS77" s="2"/>
    </row>
    <row r="78" spans="1:45" x14ac:dyDescent="0.25">
      <c r="A78" s="236"/>
      <c r="B78" s="236"/>
      <c r="C78" s="2"/>
      <c r="D78" s="2"/>
      <c r="E78" s="2"/>
      <c r="F78" s="222"/>
      <c r="G78" s="2"/>
      <c r="H78" s="222"/>
      <c r="I78" s="222"/>
      <c r="J78" s="222"/>
      <c r="K78" s="222"/>
      <c r="L78" s="222"/>
      <c r="M78" s="222"/>
      <c r="N78" s="222"/>
      <c r="O78" s="222"/>
      <c r="P78" s="2"/>
      <c r="Q78" s="222"/>
      <c r="R78" s="2"/>
      <c r="S78" s="222"/>
      <c r="T78" s="2"/>
      <c r="U78" s="222"/>
      <c r="V78" s="2"/>
      <c r="W78" s="222"/>
      <c r="X78" s="2"/>
      <c r="Y78" s="222"/>
      <c r="Z78" s="2"/>
      <c r="AA78" s="222"/>
      <c r="AB78" s="2"/>
      <c r="AC78" s="222"/>
      <c r="AD78" s="2"/>
      <c r="AE78" s="222"/>
      <c r="AF78" s="2"/>
      <c r="AG78" s="222"/>
      <c r="AH78" s="2"/>
      <c r="AI78" s="2"/>
      <c r="AJ78" s="2"/>
      <c r="AK78" s="2"/>
      <c r="AL78" s="2"/>
      <c r="AM78" s="2"/>
      <c r="AN78" s="2"/>
      <c r="AO78" s="2"/>
      <c r="AP78" s="2"/>
      <c r="AQ78" s="2"/>
      <c r="AR78" s="2"/>
      <c r="AS78" s="2"/>
    </row>
    <row r="79" spans="1:45" x14ac:dyDescent="0.25">
      <c r="A79" s="236"/>
      <c r="B79" s="236"/>
      <c r="C79" s="2"/>
      <c r="D79" s="2"/>
      <c r="E79" s="2"/>
      <c r="F79" s="222"/>
      <c r="G79" s="2"/>
      <c r="H79" s="222"/>
      <c r="I79" s="222"/>
      <c r="J79" s="222"/>
      <c r="K79" s="222"/>
      <c r="L79" s="222"/>
      <c r="M79" s="222"/>
      <c r="N79" s="222"/>
      <c r="O79" s="222"/>
      <c r="P79" s="2"/>
      <c r="Q79" s="222"/>
      <c r="R79" s="2"/>
      <c r="S79" s="222"/>
      <c r="T79" s="2"/>
      <c r="U79" s="222"/>
      <c r="V79" s="2"/>
      <c r="W79" s="222"/>
      <c r="X79" s="2"/>
      <c r="Y79" s="222"/>
      <c r="Z79" s="2"/>
      <c r="AA79" s="222"/>
      <c r="AB79" s="2"/>
      <c r="AC79" s="222"/>
      <c r="AD79" s="2"/>
      <c r="AE79" s="222"/>
      <c r="AF79" s="2"/>
      <c r="AG79" s="222"/>
      <c r="AH79" s="2"/>
      <c r="AI79" s="2"/>
      <c r="AJ79" s="2"/>
      <c r="AK79" s="2"/>
      <c r="AL79" s="2"/>
      <c r="AM79" s="2"/>
      <c r="AN79" s="2"/>
      <c r="AO79" s="2"/>
      <c r="AP79" s="2"/>
      <c r="AQ79" s="2"/>
      <c r="AR79" s="2"/>
      <c r="AS79" s="2"/>
    </row>
    <row r="80" spans="1:45" x14ac:dyDescent="0.25">
      <c r="A80" s="236"/>
      <c r="B80" s="236"/>
      <c r="C80" s="2"/>
      <c r="D80" s="2"/>
      <c r="E80" s="2"/>
      <c r="F80" s="222"/>
      <c r="G80" s="2"/>
      <c r="H80" s="222"/>
      <c r="I80" s="222"/>
      <c r="J80" s="222"/>
      <c r="K80" s="222"/>
      <c r="L80" s="222"/>
      <c r="M80" s="222"/>
      <c r="N80" s="222"/>
      <c r="O80" s="222"/>
      <c r="P80" s="2"/>
      <c r="Q80" s="222"/>
      <c r="R80" s="2"/>
      <c r="S80" s="222"/>
      <c r="T80" s="2"/>
      <c r="U80" s="222"/>
      <c r="V80" s="2"/>
      <c r="W80" s="222"/>
      <c r="X80" s="2"/>
      <c r="Y80" s="222"/>
      <c r="Z80" s="2"/>
      <c r="AA80" s="222"/>
      <c r="AB80" s="2"/>
      <c r="AC80" s="222"/>
      <c r="AD80" s="2"/>
      <c r="AE80" s="222"/>
      <c r="AF80" s="2"/>
      <c r="AG80" s="222"/>
      <c r="AH80" s="2"/>
      <c r="AI80" s="2"/>
      <c r="AJ80" s="2"/>
      <c r="AK80" s="2"/>
      <c r="AL80" s="2"/>
      <c r="AM80" s="2"/>
      <c r="AN80" s="2"/>
      <c r="AO80" s="2"/>
      <c r="AP80" s="2"/>
      <c r="AQ80" s="2"/>
      <c r="AR80" s="2"/>
      <c r="AS80" s="2"/>
    </row>
    <row r="81" spans="1:45" x14ac:dyDescent="0.25">
      <c r="A81" s="236"/>
      <c r="B81" s="236"/>
      <c r="C81" s="2"/>
      <c r="D81" s="2"/>
      <c r="E81" s="2"/>
      <c r="F81" s="222"/>
      <c r="G81" s="2"/>
      <c r="H81" s="222"/>
      <c r="I81" s="222"/>
      <c r="J81" s="222"/>
      <c r="K81" s="222"/>
      <c r="L81" s="222"/>
      <c r="M81" s="222"/>
      <c r="N81" s="222"/>
      <c r="O81" s="222"/>
      <c r="P81" s="2"/>
      <c r="Q81" s="222"/>
      <c r="R81" s="2"/>
      <c r="S81" s="222"/>
      <c r="T81" s="2"/>
      <c r="U81" s="222"/>
      <c r="V81" s="2"/>
      <c r="W81" s="222"/>
      <c r="X81" s="2"/>
      <c r="Y81" s="222"/>
      <c r="Z81" s="2"/>
      <c r="AA81" s="222"/>
      <c r="AB81" s="2"/>
      <c r="AC81" s="222"/>
      <c r="AD81" s="2"/>
      <c r="AE81" s="222"/>
      <c r="AF81" s="2"/>
      <c r="AG81" s="222"/>
      <c r="AH81" s="2"/>
      <c r="AI81" s="2"/>
      <c r="AJ81" s="2"/>
      <c r="AK81" s="2"/>
      <c r="AL81" s="2"/>
      <c r="AM81" s="2"/>
      <c r="AN81" s="2"/>
      <c r="AO81" s="2"/>
      <c r="AP81" s="2"/>
      <c r="AQ81" s="2"/>
      <c r="AR81" s="2"/>
      <c r="AS81" s="2"/>
    </row>
    <row r="82" spans="1:45" x14ac:dyDescent="0.25">
      <c r="A82" s="236"/>
      <c r="B82" s="236"/>
      <c r="C82" s="2"/>
      <c r="D82" s="2"/>
      <c r="E82" s="2"/>
      <c r="F82" s="222"/>
      <c r="G82" s="2"/>
      <c r="H82" s="222"/>
      <c r="I82" s="222"/>
      <c r="J82" s="222"/>
      <c r="K82" s="222"/>
      <c r="L82" s="222"/>
      <c r="M82" s="222"/>
      <c r="N82" s="222"/>
      <c r="O82" s="222"/>
      <c r="P82" s="2"/>
      <c r="Q82" s="222"/>
      <c r="R82" s="2"/>
      <c r="S82" s="222"/>
      <c r="T82" s="2"/>
      <c r="U82" s="222"/>
      <c r="V82" s="2"/>
      <c r="W82" s="222"/>
      <c r="X82" s="2"/>
      <c r="Y82" s="222"/>
      <c r="Z82" s="2"/>
      <c r="AA82" s="222"/>
      <c r="AB82" s="2"/>
      <c r="AC82" s="222"/>
      <c r="AD82" s="2"/>
      <c r="AE82" s="222"/>
      <c r="AF82" s="2"/>
      <c r="AG82" s="222"/>
      <c r="AH82" s="2"/>
      <c r="AI82" s="2"/>
      <c r="AJ82" s="2"/>
      <c r="AK82" s="2"/>
      <c r="AL82" s="2"/>
      <c r="AM82" s="2"/>
      <c r="AN82" s="2"/>
      <c r="AO82" s="2"/>
      <c r="AP82" s="2"/>
      <c r="AQ82" s="2"/>
      <c r="AR82" s="2"/>
      <c r="AS82" s="2"/>
    </row>
    <row r="83" spans="1:45" x14ac:dyDescent="0.25">
      <c r="A83" s="236"/>
      <c r="B83" s="236"/>
      <c r="C83" s="2"/>
      <c r="D83" s="2"/>
      <c r="E83" s="2"/>
      <c r="F83" s="222"/>
      <c r="G83" s="2"/>
      <c r="H83" s="222"/>
      <c r="I83" s="222"/>
      <c r="J83" s="222"/>
      <c r="K83" s="222"/>
      <c r="L83" s="222"/>
      <c r="M83" s="222"/>
      <c r="N83" s="222"/>
      <c r="O83" s="222"/>
      <c r="P83" s="2"/>
      <c r="Q83" s="222"/>
      <c r="R83" s="2"/>
      <c r="S83" s="222"/>
      <c r="T83" s="2"/>
      <c r="U83" s="222"/>
      <c r="V83" s="2"/>
      <c r="W83" s="222"/>
      <c r="X83" s="2"/>
      <c r="Y83" s="222"/>
      <c r="Z83" s="2"/>
      <c r="AA83" s="222"/>
      <c r="AB83" s="2"/>
      <c r="AC83" s="222"/>
      <c r="AD83" s="2"/>
      <c r="AE83" s="222"/>
      <c r="AF83" s="2"/>
      <c r="AG83" s="222"/>
      <c r="AH83" s="2"/>
      <c r="AI83" s="2"/>
      <c r="AJ83" s="2"/>
      <c r="AK83" s="2"/>
      <c r="AL83" s="2"/>
      <c r="AM83" s="2"/>
      <c r="AN83" s="2"/>
      <c r="AO83" s="2"/>
      <c r="AP83" s="2"/>
      <c r="AQ83" s="2"/>
      <c r="AR83" s="2"/>
      <c r="AS83" s="2"/>
    </row>
    <row r="84" spans="1:45" x14ac:dyDescent="0.25">
      <c r="A84" s="236"/>
      <c r="B84" s="236"/>
      <c r="C84" s="2"/>
      <c r="D84" s="2"/>
      <c r="E84" s="2"/>
      <c r="F84" s="222"/>
      <c r="G84" s="2"/>
      <c r="H84" s="222"/>
      <c r="I84" s="222"/>
      <c r="J84" s="222"/>
      <c r="K84" s="222"/>
      <c r="L84" s="222"/>
      <c r="M84" s="222"/>
      <c r="N84" s="222"/>
      <c r="O84" s="222"/>
      <c r="P84" s="2"/>
      <c r="Q84" s="222"/>
      <c r="R84" s="2"/>
      <c r="S84" s="222"/>
      <c r="T84" s="2"/>
      <c r="U84" s="222"/>
      <c r="V84" s="2"/>
      <c r="W84" s="222"/>
      <c r="X84" s="2"/>
      <c r="Y84" s="222"/>
      <c r="Z84" s="2"/>
      <c r="AA84" s="222"/>
      <c r="AB84" s="2"/>
      <c r="AC84" s="222"/>
      <c r="AD84" s="2"/>
      <c r="AE84" s="222"/>
      <c r="AF84" s="2"/>
      <c r="AG84" s="222"/>
      <c r="AH84" s="2"/>
      <c r="AI84" s="2"/>
      <c r="AJ84" s="2"/>
      <c r="AK84" s="2"/>
      <c r="AL84" s="2"/>
      <c r="AM84" s="2"/>
      <c r="AN84" s="2"/>
      <c r="AO84" s="2"/>
      <c r="AP84" s="2"/>
      <c r="AQ84" s="2"/>
      <c r="AR84" s="2"/>
      <c r="AS84" s="2"/>
    </row>
    <row r="85" spans="1:45" x14ac:dyDescent="0.25">
      <c r="A85" s="236"/>
      <c r="B85" s="236"/>
      <c r="C85" s="2"/>
      <c r="D85" s="2"/>
      <c r="E85" s="2"/>
      <c r="F85" s="222"/>
      <c r="G85" s="2"/>
      <c r="H85" s="222"/>
      <c r="I85" s="222"/>
      <c r="J85" s="222"/>
      <c r="K85" s="222"/>
      <c r="L85" s="222"/>
      <c r="M85" s="222"/>
      <c r="N85" s="222"/>
      <c r="O85" s="222"/>
      <c r="P85" s="2"/>
      <c r="Q85" s="222"/>
      <c r="R85" s="2"/>
      <c r="S85" s="222"/>
      <c r="T85" s="2"/>
      <c r="U85" s="222"/>
      <c r="V85" s="2"/>
      <c r="W85" s="222"/>
      <c r="X85" s="2"/>
      <c r="Y85" s="222"/>
      <c r="Z85" s="2"/>
      <c r="AA85" s="222"/>
      <c r="AB85" s="2"/>
      <c r="AC85" s="222"/>
      <c r="AD85" s="2"/>
      <c r="AE85" s="222"/>
      <c r="AF85" s="2"/>
      <c r="AG85" s="222"/>
      <c r="AH85" s="2"/>
      <c r="AI85" s="2"/>
      <c r="AJ85" s="2"/>
      <c r="AK85" s="2"/>
      <c r="AL85" s="2"/>
      <c r="AM85" s="2"/>
      <c r="AN85" s="2"/>
      <c r="AO85" s="2"/>
      <c r="AP85" s="2"/>
      <c r="AQ85" s="2"/>
      <c r="AR85" s="2"/>
      <c r="AS85" s="2"/>
    </row>
    <row r="86" spans="1:45" x14ac:dyDescent="0.25">
      <c r="A86" s="236"/>
      <c r="B86" s="236"/>
      <c r="C86" s="2"/>
      <c r="D86" s="2"/>
      <c r="E86" s="2"/>
      <c r="F86" s="222"/>
      <c r="G86" s="2"/>
      <c r="H86" s="222"/>
      <c r="I86" s="222"/>
      <c r="J86" s="222"/>
      <c r="K86" s="222"/>
      <c r="L86" s="222"/>
      <c r="M86" s="222"/>
      <c r="N86" s="222"/>
      <c r="O86" s="222"/>
      <c r="P86" s="2"/>
      <c r="Q86" s="222"/>
      <c r="R86" s="2"/>
      <c r="S86" s="222"/>
      <c r="T86" s="2"/>
      <c r="U86" s="222"/>
      <c r="V86" s="2"/>
      <c r="W86" s="222"/>
      <c r="X86" s="2"/>
      <c r="Y86" s="222"/>
      <c r="Z86" s="2"/>
      <c r="AA86" s="222"/>
      <c r="AB86" s="2"/>
      <c r="AC86" s="222"/>
      <c r="AD86" s="2"/>
      <c r="AE86" s="222"/>
      <c r="AF86" s="2"/>
      <c r="AG86" s="222"/>
      <c r="AH86" s="2"/>
      <c r="AI86" s="2"/>
      <c r="AJ86" s="2"/>
      <c r="AK86" s="2"/>
      <c r="AL86" s="2"/>
      <c r="AM86" s="2"/>
      <c r="AN86" s="2"/>
      <c r="AO86" s="2"/>
      <c r="AP86" s="2"/>
      <c r="AQ86" s="2"/>
      <c r="AR86" s="2"/>
      <c r="AS86" s="2"/>
    </row>
    <row r="87" spans="1:45" x14ac:dyDescent="0.25">
      <c r="A87" s="236"/>
      <c r="B87" s="236"/>
      <c r="C87" s="2"/>
      <c r="D87" s="2"/>
      <c r="E87" s="2"/>
      <c r="F87" s="222"/>
      <c r="G87" s="2"/>
      <c r="H87" s="222"/>
      <c r="I87" s="222"/>
      <c r="J87" s="222"/>
      <c r="K87" s="222"/>
      <c r="L87" s="222"/>
      <c r="M87" s="222"/>
      <c r="N87" s="222"/>
      <c r="O87" s="222"/>
      <c r="P87" s="2"/>
      <c r="Q87" s="222"/>
      <c r="R87" s="2"/>
      <c r="S87" s="222"/>
      <c r="T87" s="2"/>
      <c r="U87" s="222"/>
      <c r="V87" s="2"/>
      <c r="W87" s="222"/>
      <c r="X87" s="2"/>
      <c r="Y87" s="222"/>
      <c r="Z87" s="2"/>
      <c r="AA87" s="222"/>
      <c r="AB87" s="2"/>
      <c r="AC87" s="222"/>
      <c r="AD87" s="2"/>
      <c r="AE87" s="222"/>
      <c r="AF87" s="2"/>
      <c r="AG87" s="222"/>
      <c r="AH87" s="2"/>
      <c r="AI87" s="2"/>
      <c r="AJ87" s="2"/>
      <c r="AK87" s="2"/>
      <c r="AL87" s="2"/>
      <c r="AM87" s="2"/>
      <c r="AN87" s="2"/>
      <c r="AO87" s="2"/>
      <c r="AP87" s="2"/>
      <c r="AQ87" s="2"/>
      <c r="AR87" s="2"/>
      <c r="AS87" s="2"/>
    </row>
    <row r="88" spans="1:45" x14ac:dyDescent="0.25">
      <c r="A88" s="236"/>
      <c r="B88" s="236"/>
      <c r="C88" s="2"/>
      <c r="D88" s="2"/>
      <c r="E88" s="2"/>
      <c r="F88" s="222"/>
      <c r="G88" s="2"/>
      <c r="H88" s="222"/>
      <c r="I88" s="222"/>
      <c r="J88" s="222"/>
      <c r="K88" s="222"/>
      <c r="L88" s="222"/>
      <c r="M88" s="222"/>
      <c r="N88" s="222"/>
      <c r="O88" s="222"/>
      <c r="P88" s="2"/>
      <c r="Q88" s="222"/>
      <c r="R88" s="2"/>
      <c r="S88" s="222"/>
      <c r="T88" s="2"/>
      <c r="U88" s="222"/>
      <c r="V88" s="2"/>
      <c r="W88" s="222"/>
      <c r="X88" s="2"/>
      <c r="Y88" s="222"/>
      <c r="Z88" s="2"/>
      <c r="AA88" s="222"/>
      <c r="AB88" s="2"/>
      <c r="AC88" s="222"/>
      <c r="AD88" s="2"/>
      <c r="AE88" s="222"/>
      <c r="AF88" s="2"/>
      <c r="AG88" s="222"/>
      <c r="AH88" s="2"/>
      <c r="AI88" s="2"/>
      <c r="AJ88" s="2"/>
      <c r="AK88" s="2"/>
      <c r="AL88" s="2"/>
      <c r="AM88" s="2"/>
      <c r="AN88" s="2"/>
      <c r="AO88" s="2"/>
      <c r="AP88" s="2"/>
      <c r="AQ88" s="2"/>
      <c r="AR88" s="2"/>
      <c r="AS88" s="2"/>
    </row>
    <row r="89" spans="1:45" x14ac:dyDescent="0.25">
      <c r="A89" s="236"/>
      <c r="B89" s="236"/>
      <c r="C89" s="2"/>
      <c r="D89" s="2"/>
      <c r="E89" s="2"/>
      <c r="F89" s="222"/>
      <c r="G89" s="2"/>
      <c r="H89" s="222"/>
      <c r="I89" s="222"/>
      <c r="J89" s="222"/>
      <c r="K89" s="222"/>
      <c r="L89" s="222"/>
      <c r="M89" s="222"/>
      <c r="N89" s="222"/>
      <c r="O89" s="222"/>
      <c r="P89" s="2"/>
      <c r="Q89" s="222"/>
      <c r="R89" s="2"/>
      <c r="S89" s="222"/>
      <c r="T89" s="2"/>
      <c r="U89" s="222"/>
      <c r="V89" s="2"/>
      <c r="W89" s="222"/>
      <c r="X89" s="2"/>
      <c r="Y89" s="222"/>
      <c r="Z89" s="2"/>
      <c r="AA89" s="222"/>
      <c r="AB89" s="2"/>
      <c r="AC89" s="222"/>
      <c r="AD89" s="2"/>
      <c r="AE89" s="222"/>
      <c r="AF89" s="2"/>
      <c r="AG89" s="222"/>
      <c r="AH89" s="2"/>
      <c r="AI89" s="2"/>
      <c r="AJ89" s="2"/>
      <c r="AK89" s="2"/>
      <c r="AL89" s="2"/>
      <c r="AM89" s="2"/>
      <c r="AN89" s="2"/>
      <c r="AO89" s="2"/>
      <c r="AP89" s="2"/>
      <c r="AQ89" s="2"/>
      <c r="AR89" s="2"/>
      <c r="AS89" s="2"/>
    </row>
    <row r="90" spans="1:45" x14ac:dyDescent="0.25">
      <c r="A90" s="236"/>
      <c r="B90" s="236"/>
      <c r="C90" s="2"/>
      <c r="D90" s="2"/>
      <c r="E90" s="2"/>
      <c r="F90" s="222"/>
      <c r="G90" s="2"/>
      <c r="H90" s="222"/>
      <c r="I90" s="222"/>
      <c r="J90" s="222"/>
      <c r="K90" s="222"/>
      <c r="L90" s="222"/>
      <c r="M90" s="222"/>
      <c r="N90" s="222"/>
      <c r="O90" s="222"/>
      <c r="P90" s="2"/>
      <c r="Q90" s="222"/>
      <c r="R90" s="2"/>
      <c r="S90" s="222"/>
      <c r="T90" s="2"/>
      <c r="U90" s="222"/>
      <c r="V90" s="2"/>
      <c r="W90" s="222"/>
      <c r="X90" s="2"/>
      <c r="Y90" s="222"/>
      <c r="Z90" s="2"/>
      <c r="AA90" s="222"/>
      <c r="AB90" s="2"/>
      <c r="AC90" s="222"/>
      <c r="AD90" s="2"/>
      <c r="AE90" s="222"/>
      <c r="AF90" s="2"/>
      <c r="AG90" s="222"/>
      <c r="AH90" s="2"/>
      <c r="AI90" s="2"/>
      <c r="AJ90" s="2"/>
      <c r="AK90" s="2"/>
      <c r="AL90" s="2"/>
      <c r="AM90" s="2"/>
      <c r="AN90" s="2"/>
      <c r="AO90" s="2"/>
      <c r="AP90" s="2"/>
      <c r="AQ90" s="2"/>
      <c r="AR90" s="2"/>
      <c r="AS90" s="2"/>
    </row>
    <row r="91" spans="1:45" x14ac:dyDescent="0.25">
      <c r="A91" s="236"/>
      <c r="B91" s="236"/>
      <c r="C91" s="2"/>
      <c r="D91" s="2"/>
      <c r="E91" s="2"/>
      <c r="F91" s="222"/>
      <c r="G91" s="2"/>
      <c r="H91" s="222"/>
      <c r="I91" s="222"/>
      <c r="J91" s="222"/>
      <c r="K91" s="222"/>
      <c r="L91" s="222"/>
      <c r="M91" s="222"/>
      <c r="N91" s="222"/>
      <c r="O91" s="222"/>
      <c r="P91" s="2"/>
      <c r="Q91" s="222"/>
      <c r="R91" s="2"/>
      <c r="S91" s="222"/>
      <c r="T91" s="2"/>
      <c r="U91" s="222"/>
      <c r="V91" s="2"/>
      <c r="W91" s="222"/>
      <c r="X91" s="2"/>
      <c r="Y91" s="222"/>
      <c r="Z91" s="2"/>
      <c r="AA91" s="222"/>
      <c r="AB91" s="2"/>
      <c r="AC91" s="222"/>
      <c r="AD91" s="2"/>
      <c r="AE91" s="222"/>
      <c r="AF91" s="2"/>
      <c r="AG91" s="222"/>
      <c r="AH91" s="2"/>
      <c r="AI91" s="2"/>
      <c r="AJ91" s="2"/>
      <c r="AK91" s="2"/>
      <c r="AL91" s="2"/>
      <c r="AM91" s="2"/>
      <c r="AN91" s="2"/>
      <c r="AO91" s="2"/>
      <c r="AP91" s="2"/>
      <c r="AQ91" s="2"/>
      <c r="AR91" s="2"/>
      <c r="AS91" s="2"/>
    </row>
    <row r="92" spans="1:45" x14ac:dyDescent="0.25">
      <c r="A92" s="236"/>
      <c r="B92" s="236"/>
      <c r="C92" s="2"/>
      <c r="D92" s="2"/>
      <c r="E92" s="2"/>
      <c r="F92" s="222"/>
      <c r="G92" s="2"/>
      <c r="H92" s="222"/>
      <c r="I92" s="222"/>
      <c r="J92" s="222"/>
      <c r="K92" s="222"/>
      <c r="L92" s="222"/>
      <c r="M92" s="222"/>
      <c r="N92" s="222"/>
      <c r="O92" s="222"/>
      <c r="P92" s="2"/>
      <c r="Q92" s="222"/>
      <c r="R92" s="2"/>
      <c r="S92" s="222"/>
      <c r="T92" s="2"/>
      <c r="U92" s="222"/>
      <c r="V92" s="2"/>
      <c r="W92" s="222"/>
      <c r="X92" s="2"/>
      <c r="Y92" s="222"/>
      <c r="Z92" s="2"/>
      <c r="AA92" s="222"/>
      <c r="AB92" s="2"/>
      <c r="AC92" s="222"/>
      <c r="AD92" s="2"/>
      <c r="AE92" s="222"/>
      <c r="AF92" s="2"/>
      <c r="AG92" s="222"/>
      <c r="AH92" s="2"/>
      <c r="AI92" s="2"/>
      <c r="AJ92" s="2"/>
      <c r="AK92" s="2"/>
      <c r="AL92" s="2"/>
      <c r="AM92" s="2"/>
      <c r="AN92" s="2"/>
      <c r="AO92" s="2"/>
      <c r="AP92" s="2"/>
      <c r="AQ92" s="2"/>
      <c r="AR92" s="2"/>
      <c r="AS92" s="2"/>
    </row>
    <row r="93" spans="1:45" x14ac:dyDescent="0.25">
      <c r="A93" s="236"/>
      <c r="B93" s="236"/>
      <c r="C93" s="2"/>
      <c r="D93" s="2"/>
      <c r="E93" s="2"/>
      <c r="F93" s="222"/>
      <c r="G93" s="2"/>
      <c r="H93" s="222"/>
      <c r="I93" s="222"/>
      <c r="J93" s="222"/>
      <c r="K93" s="222"/>
      <c r="L93" s="222"/>
      <c r="M93" s="222"/>
      <c r="N93" s="222"/>
      <c r="O93" s="222"/>
      <c r="P93" s="2"/>
      <c r="Q93" s="222"/>
      <c r="R93" s="2"/>
      <c r="S93" s="222"/>
      <c r="T93" s="2"/>
      <c r="U93" s="222"/>
      <c r="V93" s="2"/>
      <c r="W93" s="222"/>
      <c r="X93" s="2"/>
      <c r="Y93" s="222"/>
      <c r="Z93" s="2"/>
      <c r="AA93" s="222"/>
      <c r="AB93" s="2"/>
      <c r="AC93" s="222"/>
      <c r="AD93" s="2"/>
      <c r="AE93" s="222"/>
      <c r="AF93" s="2"/>
      <c r="AG93" s="222"/>
      <c r="AH93" s="2"/>
      <c r="AI93" s="2"/>
      <c r="AJ93" s="2"/>
      <c r="AK93" s="2"/>
      <c r="AL93" s="2"/>
      <c r="AM93" s="2"/>
      <c r="AN93" s="2"/>
      <c r="AO93" s="2"/>
      <c r="AP93" s="2"/>
      <c r="AQ93" s="2"/>
      <c r="AR93" s="2"/>
      <c r="AS93" s="2"/>
    </row>
    <row r="94" spans="1:45" x14ac:dyDescent="0.25">
      <c r="A94" s="236"/>
      <c r="B94" s="236"/>
      <c r="C94" s="2"/>
      <c r="D94" s="2"/>
      <c r="E94" s="2"/>
      <c r="F94" s="222"/>
      <c r="G94" s="2"/>
      <c r="H94" s="222"/>
      <c r="I94" s="222"/>
      <c r="J94" s="222"/>
      <c r="K94" s="222"/>
      <c r="L94" s="222"/>
      <c r="M94" s="222"/>
      <c r="N94" s="222"/>
      <c r="O94" s="222"/>
      <c r="P94" s="2"/>
      <c r="Q94" s="222"/>
      <c r="R94" s="2"/>
      <c r="S94" s="222"/>
      <c r="T94" s="2"/>
      <c r="U94" s="222"/>
      <c r="V94" s="2"/>
      <c r="W94" s="222"/>
      <c r="X94" s="2"/>
      <c r="Y94" s="222"/>
      <c r="Z94" s="2"/>
      <c r="AA94" s="222"/>
      <c r="AB94" s="2"/>
      <c r="AC94" s="222"/>
      <c r="AD94" s="2"/>
      <c r="AE94" s="222"/>
      <c r="AF94" s="2"/>
      <c r="AG94" s="222"/>
      <c r="AH94" s="2"/>
      <c r="AI94" s="2"/>
      <c r="AJ94" s="2"/>
      <c r="AK94" s="2"/>
      <c r="AL94" s="2"/>
      <c r="AM94" s="2"/>
      <c r="AN94" s="2"/>
      <c r="AO94" s="2"/>
      <c r="AP94" s="2"/>
      <c r="AQ94" s="2"/>
      <c r="AR94" s="2"/>
      <c r="AS94" s="2"/>
    </row>
    <row r="95" spans="1:45" x14ac:dyDescent="0.25">
      <c r="A95" s="236"/>
      <c r="B95" s="236"/>
      <c r="C95" s="2"/>
      <c r="D95" s="2"/>
      <c r="E95" s="2"/>
      <c r="F95" s="222"/>
      <c r="G95" s="2"/>
      <c r="H95" s="222"/>
      <c r="I95" s="222"/>
      <c r="J95" s="222"/>
      <c r="K95" s="222"/>
      <c r="L95" s="222"/>
      <c r="M95" s="222"/>
      <c r="N95" s="222"/>
      <c r="O95" s="222"/>
      <c r="P95" s="2"/>
      <c r="Q95" s="222"/>
      <c r="R95" s="2"/>
      <c r="S95" s="222"/>
      <c r="T95" s="2"/>
      <c r="U95" s="222"/>
      <c r="V95" s="2"/>
      <c r="W95" s="222"/>
      <c r="X95" s="2"/>
      <c r="Y95" s="222"/>
      <c r="Z95" s="2"/>
      <c r="AA95" s="222"/>
      <c r="AB95" s="2"/>
      <c r="AC95" s="222"/>
      <c r="AD95" s="2"/>
      <c r="AE95" s="222"/>
      <c r="AF95" s="2"/>
      <c r="AG95" s="222"/>
      <c r="AH95" s="2"/>
      <c r="AI95" s="2"/>
      <c r="AJ95" s="2"/>
      <c r="AK95" s="2"/>
      <c r="AL95" s="2"/>
      <c r="AM95" s="2"/>
      <c r="AN95" s="2"/>
      <c r="AO95" s="2"/>
      <c r="AP95" s="2"/>
      <c r="AQ95" s="2"/>
      <c r="AR95" s="2"/>
      <c r="AS95" s="2"/>
    </row>
    <row r="96" spans="1:45" x14ac:dyDescent="0.25">
      <c r="A96" s="236"/>
      <c r="B96" s="236"/>
      <c r="C96" s="2"/>
      <c r="D96" s="2"/>
      <c r="E96" s="2"/>
      <c r="F96" s="222"/>
      <c r="G96" s="2"/>
      <c r="H96" s="222"/>
      <c r="I96" s="222"/>
      <c r="J96" s="222"/>
      <c r="K96" s="222"/>
      <c r="L96" s="222"/>
      <c r="M96" s="222"/>
      <c r="N96" s="222"/>
      <c r="O96" s="222"/>
      <c r="P96" s="2"/>
      <c r="Q96" s="222"/>
      <c r="R96" s="2"/>
      <c r="S96" s="222"/>
      <c r="T96" s="2"/>
      <c r="U96" s="222"/>
      <c r="V96" s="2"/>
      <c r="W96" s="222"/>
      <c r="X96" s="2"/>
      <c r="Y96" s="222"/>
      <c r="Z96" s="2"/>
      <c r="AA96" s="222"/>
      <c r="AB96" s="2"/>
      <c r="AC96" s="222"/>
      <c r="AD96" s="2"/>
      <c r="AE96" s="222"/>
      <c r="AF96" s="2"/>
      <c r="AG96" s="222"/>
      <c r="AH96" s="2"/>
      <c r="AI96" s="2"/>
      <c r="AJ96" s="2"/>
      <c r="AK96" s="2"/>
      <c r="AL96" s="2"/>
      <c r="AM96" s="2"/>
      <c r="AN96" s="2"/>
      <c r="AO96" s="2"/>
      <c r="AP96" s="2"/>
      <c r="AQ96" s="2"/>
      <c r="AR96" s="2"/>
      <c r="AS96" s="2"/>
    </row>
    <row r="97" spans="1:45" x14ac:dyDescent="0.25">
      <c r="A97" s="236"/>
      <c r="B97" s="236"/>
      <c r="C97" s="2"/>
      <c r="D97" s="2"/>
      <c r="E97" s="2"/>
      <c r="F97" s="222"/>
      <c r="G97" s="2"/>
      <c r="H97" s="222"/>
      <c r="I97" s="222"/>
      <c r="J97" s="222"/>
      <c r="K97" s="222"/>
      <c r="L97" s="222"/>
      <c r="M97" s="222"/>
      <c r="N97" s="222"/>
      <c r="O97" s="222"/>
      <c r="P97" s="2"/>
      <c r="Q97" s="222"/>
      <c r="R97" s="2"/>
      <c r="S97" s="222"/>
      <c r="T97" s="2"/>
      <c r="U97" s="222"/>
      <c r="V97" s="2"/>
      <c r="W97" s="222"/>
      <c r="X97" s="2"/>
      <c r="Y97" s="222"/>
      <c r="Z97" s="2"/>
      <c r="AA97" s="222"/>
      <c r="AB97" s="2"/>
      <c r="AC97" s="222"/>
      <c r="AD97" s="2"/>
      <c r="AE97" s="222"/>
      <c r="AF97" s="2"/>
      <c r="AG97" s="222"/>
      <c r="AH97" s="2"/>
      <c r="AI97" s="2"/>
      <c r="AJ97" s="2"/>
      <c r="AK97" s="2"/>
      <c r="AL97" s="2"/>
      <c r="AM97" s="2"/>
      <c r="AN97" s="2"/>
      <c r="AO97" s="2"/>
      <c r="AP97" s="2"/>
      <c r="AQ97" s="2"/>
      <c r="AR97" s="2"/>
      <c r="AS97" s="2"/>
    </row>
    <row r="98" spans="1:45" x14ac:dyDescent="0.25">
      <c r="A98" s="236"/>
      <c r="B98" s="236"/>
      <c r="C98" s="2"/>
      <c r="D98" s="2"/>
      <c r="E98" s="2"/>
      <c r="F98" s="222"/>
      <c r="G98" s="2"/>
      <c r="H98" s="222"/>
      <c r="I98" s="222"/>
      <c r="J98" s="222"/>
      <c r="K98" s="222"/>
      <c r="L98" s="222"/>
      <c r="M98" s="222"/>
      <c r="N98" s="222"/>
      <c r="O98" s="222"/>
      <c r="P98" s="2"/>
      <c r="Q98" s="222"/>
      <c r="R98" s="2"/>
      <c r="S98" s="222"/>
      <c r="T98" s="2"/>
      <c r="U98" s="222"/>
      <c r="V98" s="2"/>
      <c r="W98" s="222"/>
      <c r="X98" s="2"/>
      <c r="Y98" s="222"/>
      <c r="Z98" s="2"/>
      <c r="AA98" s="222"/>
      <c r="AB98" s="2"/>
      <c r="AC98" s="222"/>
      <c r="AD98" s="2"/>
      <c r="AE98" s="222"/>
      <c r="AF98" s="2"/>
      <c r="AG98" s="222"/>
      <c r="AH98" s="2"/>
      <c r="AI98" s="2"/>
      <c r="AJ98" s="2"/>
      <c r="AK98" s="2"/>
      <c r="AL98" s="2"/>
      <c r="AM98" s="2"/>
      <c r="AN98" s="2"/>
      <c r="AO98" s="2"/>
      <c r="AP98" s="2"/>
      <c r="AQ98" s="2"/>
      <c r="AR98" s="2"/>
      <c r="AS98" s="2"/>
    </row>
    <row r="99" spans="1:45" x14ac:dyDescent="0.25">
      <c r="A99" s="236"/>
      <c r="B99" s="236"/>
      <c r="C99" s="2"/>
      <c r="D99" s="2"/>
      <c r="E99" s="2"/>
      <c r="F99" s="222"/>
      <c r="G99" s="2"/>
      <c r="H99" s="222"/>
      <c r="I99" s="222"/>
      <c r="J99" s="222"/>
      <c r="K99" s="222"/>
      <c r="L99" s="222"/>
      <c r="M99" s="222"/>
      <c r="N99" s="222"/>
      <c r="O99" s="222"/>
      <c r="P99" s="2"/>
      <c r="Q99" s="222"/>
      <c r="R99" s="2"/>
      <c r="S99" s="222"/>
      <c r="T99" s="2"/>
      <c r="U99" s="222"/>
      <c r="V99" s="2"/>
      <c r="W99" s="222"/>
      <c r="X99" s="2"/>
      <c r="Y99" s="222"/>
      <c r="Z99" s="2"/>
      <c r="AA99" s="222"/>
      <c r="AB99" s="2"/>
      <c r="AC99" s="222"/>
      <c r="AD99" s="2"/>
      <c r="AE99" s="222"/>
      <c r="AF99" s="2"/>
      <c r="AG99" s="222"/>
      <c r="AH99" s="2"/>
      <c r="AI99" s="2"/>
      <c r="AJ99" s="2"/>
      <c r="AK99" s="2"/>
      <c r="AL99" s="2"/>
      <c r="AM99" s="2"/>
      <c r="AN99" s="2"/>
      <c r="AO99" s="2"/>
      <c r="AP99" s="2"/>
      <c r="AQ99" s="2"/>
      <c r="AR99" s="2"/>
      <c r="AS99" s="2"/>
    </row>
    <row r="100" spans="1:45" x14ac:dyDescent="0.25">
      <c r="A100" s="236"/>
      <c r="B100" s="236"/>
      <c r="C100" s="2"/>
      <c r="D100" s="2"/>
      <c r="E100" s="2"/>
      <c r="F100" s="222"/>
      <c r="G100" s="2"/>
      <c r="H100" s="222"/>
      <c r="I100" s="222"/>
      <c r="J100" s="222"/>
      <c r="K100" s="222"/>
      <c r="L100" s="222"/>
      <c r="M100" s="222"/>
      <c r="N100" s="222"/>
      <c r="O100" s="222"/>
      <c r="P100" s="2"/>
      <c r="Q100" s="222"/>
      <c r="R100" s="2"/>
      <c r="S100" s="222"/>
      <c r="T100" s="2"/>
      <c r="U100" s="222"/>
      <c r="V100" s="2"/>
      <c r="W100" s="222"/>
      <c r="X100" s="2"/>
      <c r="Y100" s="222"/>
      <c r="Z100" s="2"/>
      <c r="AA100" s="222"/>
      <c r="AB100" s="2"/>
      <c r="AC100" s="222"/>
      <c r="AD100" s="2"/>
      <c r="AE100" s="222"/>
      <c r="AF100" s="2"/>
      <c r="AG100" s="222"/>
      <c r="AH100" s="2"/>
      <c r="AI100" s="2"/>
      <c r="AJ100" s="2"/>
      <c r="AK100" s="2"/>
      <c r="AL100" s="2"/>
      <c r="AM100" s="2"/>
      <c r="AN100" s="2"/>
      <c r="AO100" s="2"/>
      <c r="AP100" s="2"/>
      <c r="AQ100" s="2"/>
      <c r="AR100" s="2"/>
      <c r="AS100" s="2"/>
    </row>
    <row r="101" spans="1:45" x14ac:dyDescent="0.25">
      <c r="A101" s="236"/>
      <c r="B101" s="236"/>
      <c r="C101" s="2"/>
      <c r="D101" s="2"/>
      <c r="E101" s="2"/>
      <c r="F101" s="222"/>
      <c r="G101" s="2"/>
      <c r="H101" s="222"/>
      <c r="I101" s="222"/>
      <c r="J101" s="222"/>
      <c r="K101" s="222"/>
      <c r="L101" s="222"/>
      <c r="M101" s="222"/>
      <c r="N101" s="222"/>
      <c r="O101" s="222"/>
      <c r="P101" s="2"/>
      <c r="Q101" s="222"/>
      <c r="R101" s="2"/>
      <c r="S101" s="222"/>
      <c r="T101" s="2"/>
      <c r="U101" s="222"/>
      <c r="V101" s="2"/>
      <c r="W101" s="222"/>
      <c r="X101" s="2"/>
      <c r="Y101" s="222"/>
      <c r="Z101" s="2"/>
      <c r="AA101" s="222"/>
      <c r="AB101" s="2"/>
      <c r="AC101" s="222"/>
      <c r="AD101" s="2"/>
      <c r="AE101" s="222"/>
      <c r="AF101" s="2"/>
      <c r="AG101" s="222"/>
      <c r="AH101" s="2"/>
      <c r="AI101" s="2"/>
      <c r="AJ101" s="2"/>
      <c r="AK101" s="2"/>
      <c r="AL101" s="2"/>
      <c r="AM101" s="2"/>
      <c r="AN101" s="2"/>
      <c r="AO101" s="2"/>
      <c r="AP101" s="2"/>
      <c r="AQ101" s="2"/>
      <c r="AR101" s="2"/>
      <c r="AS101" s="2"/>
    </row>
    <row r="102" spans="1:45" x14ac:dyDescent="0.25">
      <c r="A102" s="236"/>
      <c r="B102" s="236"/>
      <c r="C102" s="2"/>
      <c r="D102" s="2"/>
      <c r="E102" s="2"/>
      <c r="F102" s="222"/>
      <c r="G102" s="2"/>
      <c r="H102" s="222"/>
      <c r="I102" s="222"/>
      <c r="J102" s="222"/>
      <c r="K102" s="222"/>
      <c r="L102" s="222"/>
      <c r="M102" s="222"/>
      <c r="N102" s="222"/>
      <c r="O102" s="222"/>
      <c r="P102" s="2"/>
      <c r="Q102" s="222"/>
      <c r="R102" s="2"/>
      <c r="S102" s="222"/>
      <c r="T102" s="2"/>
      <c r="U102" s="222"/>
      <c r="V102" s="2"/>
      <c r="W102" s="222"/>
      <c r="X102" s="2"/>
      <c r="Y102" s="222"/>
      <c r="Z102" s="2"/>
      <c r="AA102" s="222"/>
      <c r="AB102" s="2"/>
      <c r="AC102" s="222"/>
      <c r="AD102" s="2"/>
      <c r="AE102" s="222"/>
      <c r="AF102" s="2"/>
      <c r="AG102" s="222"/>
      <c r="AH102" s="2"/>
      <c r="AI102" s="2"/>
      <c r="AJ102" s="2"/>
      <c r="AK102" s="2"/>
      <c r="AL102" s="2"/>
      <c r="AM102" s="2"/>
      <c r="AN102" s="2"/>
      <c r="AO102" s="2"/>
      <c r="AP102" s="2"/>
      <c r="AQ102" s="2"/>
      <c r="AR102" s="2"/>
      <c r="AS102" s="2"/>
    </row>
    <row r="103" spans="1:45" x14ac:dyDescent="0.25">
      <c r="A103" s="236"/>
      <c r="B103" s="236"/>
      <c r="C103" s="2"/>
      <c r="D103" s="2"/>
      <c r="E103" s="2"/>
      <c r="F103" s="222"/>
      <c r="G103" s="2"/>
      <c r="H103" s="222"/>
      <c r="I103" s="222"/>
      <c r="J103" s="222"/>
      <c r="K103" s="222"/>
      <c r="L103" s="222"/>
      <c r="M103" s="222"/>
      <c r="N103" s="222"/>
      <c r="O103" s="222"/>
      <c r="P103" s="2"/>
      <c r="Q103" s="222"/>
      <c r="R103" s="2"/>
      <c r="S103" s="222"/>
      <c r="T103" s="2"/>
      <c r="U103" s="222"/>
      <c r="V103" s="2"/>
      <c r="W103" s="222"/>
      <c r="X103" s="2"/>
      <c r="Y103" s="222"/>
      <c r="Z103" s="2"/>
      <c r="AA103" s="222"/>
      <c r="AB103" s="2"/>
      <c r="AC103" s="222"/>
      <c r="AD103" s="2"/>
      <c r="AE103" s="222"/>
      <c r="AF103" s="2"/>
      <c r="AG103" s="222"/>
      <c r="AH103" s="2"/>
      <c r="AI103" s="2"/>
      <c r="AJ103" s="2"/>
      <c r="AK103" s="2"/>
      <c r="AL103" s="2"/>
      <c r="AM103" s="2"/>
      <c r="AN103" s="2"/>
      <c r="AO103" s="2"/>
      <c r="AP103" s="2"/>
      <c r="AQ103" s="2"/>
      <c r="AR103" s="2"/>
      <c r="AS103" s="2"/>
    </row>
    <row r="104" spans="1:45" x14ac:dyDescent="0.25">
      <c r="A104" s="236"/>
      <c r="B104" s="236"/>
      <c r="C104" s="2"/>
      <c r="D104" s="2"/>
      <c r="E104" s="2"/>
      <c r="F104" s="222"/>
      <c r="G104" s="2"/>
      <c r="H104" s="222"/>
      <c r="I104" s="222"/>
      <c r="J104" s="222"/>
      <c r="K104" s="222"/>
      <c r="L104" s="222"/>
      <c r="M104" s="222"/>
      <c r="N104" s="222"/>
      <c r="O104" s="222"/>
      <c r="P104" s="2"/>
      <c r="Q104" s="222"/>
      <c r="R104" s="2"/>
      <c r="S104" s="222"/>
      <c r="T104" s="2"/>
      <c r="U104" s="222"/>
      <c r="V104" s="2"/>
      <c r="W104" s="222"/>
      <c r="X104" s="2"/>
      <c r="Y104" s="222"/>
      <c r="Z104" s="2"/>
      <c r="AA104" s="222"/>
      <c r="AB104" s="2"/>
      <c r="AC104" s="222"/>
      <c r="AD104" s="2"/>
      <c r="AE104" s="222"/>
      <c r="AF104" s="2"/>
      <c r="AG104" s="222"/>
      <c r="AH104" s="2"/>
      <c r="AI104" s="2"/>
      <c r="AJ104" s="2"/>
      <c r="AK104" s="2"/>
      <c r="AL104" s="2"/>
      <c r="AM104" s="2"/>
      <c r="AN104" s="2"/>
      <c r="AO104" s="2"/>
      <c r="AP104" s="2"/>
      <c r="AQ104" s="2"/>
      <c r="AR104" s="2"/>
      <c r="AS104" s="2"/>
    </row>
    <row r="105" spans="1:45" x14ac:dyDescent="0.25">
      <c r="A105" s="236"/>
      <c r="B105" s="236"/>
      <c r="C105" s="2"/>
      <c r="D105" s="2"/>
      <c r="E105" s="2"/>
      <c r="F105" s="222"/>
      <c r="G105" s="2"/>
      <c r="H105" s="222"/>
      <c r="I105" s="222"/>
      <c r="J105" s="222"/>
      <c r="K105" s="222"/>
      <c r="L105" s="222"/>
      <c r="M105" s="222"/>
      <c r="N105" s="222"/>
      <c r="O105" s="222"/>
      <c r="P105" s="2"/>
      <c r="Q105" s="222"/>
      <c r="R105" s="2"/>
      <c r="S105" s="222"/>
      <c r="T105" s="2"/>
      <c r="U105" s="222"/>
      <c r="V105" s="2"/>
      <c r="W105" s="222"/>
      <c r="X105" s="2"/>
      <c r="Y105" s="222"/>
      <c r="Z105" s="2"/>
      <c r="AA105" s="222"/>
      <c r="AB105" s="2"/>
      <c r="AC105" s="222"/>
      <c r="AD105" s="2"/>
      <c r="AE105" s="222"/>
      <c r="AF105" s="2"/>
      <c r="AG105" s="222"/>
      <c r="AH105" s="2"/>
      <c r="AI105" s="2"/>
      <c r="AJ105" s="2"/>
      <c r="AK105" s="2"/>
      <c r="AL105" s="2"/>
      <c r="AM105" s="2"/>
      <c r="AN105" s="2"/>
      <c r="AO105" s="2"/>
      <c r="AP105" s="2"/>
      <c r="AQ105" s="2"/>
      <c r="AR105" s="2"/>
      <c r="AS105" s="2"/>
    </row>
    <row r="106" spans="1:45" x14ac:dyDescent="0.25">
      <c r="A106" s="236"/>
      <c r="B106" s="236"/>
      <c r="C106" s="2"/>
      <c r="D106" s="2"/>
      <c r="E106" s="2"/>
      <c r="F106" s="222"/>
      <c r="G106" s="2"/>
      <c r="H106" s="222"/>
      <c r="I106" s="222"/>
      <c r="J106" s="222"/>
      <c r="K106" s="222"/>
      <c r="L106" s="222"/>
      <c r="M106" s="222"/>
      <c r="N106" s="222"/>
      <c r="O106" s="222"/>
      <c r="P106" s="2"/>
      <c r="Q106" s="222"/>
      <c r="R106" s="2"/>
      <c r="S106" s="222"/>
      <c r="T106" s="2"/>
      <c r="U106" s="222"/>
      <c r="V106" s="2"/>
      <c r="W106" s="222"/>
      <c r="X106" s="2"/>
      <c r="Y106" s="222"/>
      <c r="Z106" s="2"/>
      <c r="AA106" s="222"/>
      <c r="AB106" s="2"/>
      <c r="AC106" s="222"/>
      <c r="AD106" s="2"/>
      <c r="AE106" s="222"/>
      <c r="AF106" s="2"/>
      <c r="AG106" s="222"/>
      <c r="AH106" s="2"/>
      <c r="AI106" s="2"/>
      <c r="AJ106" s="2"/>
      <c r="AK106" s="2"/>
      <c r="AL106" s="2"/>
      <c r="AM106" s="2"/>
      <c r="AN106" s="2"/>
      <c r="AO106" s="2"/>
      <c r="AP106" s="2"/>
      <c r="AQ106" s="2"/>
      <c r="AR106" s="2"/>
      <c r="AS106" s="2"/>
    </row>
    <row r="107" spans="1:45" x14ac:dyDescent="0.25">
      <c r="A107" s="236"/>
      <c r="B107" s="236"/>
      <c r="C107" s="2"/>
      <c r="D107" s="2"/>
      <c r="E107" s="2"/>
      <c r="F107" s="222"/>
      <c r="G107" s="2"/>
      <c r="H107" s="222"/>
      <c r="I107" s="222"/>
      <c r="J107" s="222"/>
      <c r="K107" s="222"/>
      <c r="L107" s="222"/>
      <c r="M107" s="222"/>
      <c r="N107" s="222"/>
      <c r="O107" s="222"/>
      <c r="P107" s="2"/>
      <c r="Q107" s="222"/>
      <c r="R107" s="2"/>
      <c r="S107" s="222"/>
      <c r="T107" s="2"/>
      <c r="U107" s="222"/>
      <c r="V107" s="2"/>
      <c r="W107" s="222"/>
      <c r="X107" s="2"/>
      <c r="Y107" s="222"/>
      <c r="Z107" s="2"/>
      <c r="AA107" s="222"/>
      <c r="AB107" s="2"/>
      <c r="AC107" s="222"/>
      <c r="AD107" s="2"/>
      <c r="AE107" s="222"/>
      <c r="AF107" s="2"/>
      <c r="AG107" s="222"/>
      <c r="AH107" s="2"/>
      <c r="AI107" s="2"/>
      <c r="AJ107" s="2"/>
      <c r="AK107" s="2"/>
      <c r="AL107" s="2"/>
      <c r="AM107" s="2"/>
      <c r="AN107" s="2"/>
      <c r="AO107" s="2"/>
      <c r="AP107" s="2"/>
      <c r="AQ107" s="2"/>
      <c r="AR107" s="2"/>
      <c r="AS107" s="2"/>
    </row>
    <row r="108" spans="1:45" x14ac:dyDescent="0.25">
      <c r="A108" s="236"/>
      <c r="B108" s="236"/>
      <c r="C108" s="2"/>
      <c r="D108" s="2"/>
      <c r="E108" s="2"/>
      <c r="F108" s="222"/>
      <c r="G108" s="2"/>
      <c r="H108" s="222"/>
      <c r="I108" s="222"/>
      <c r="J108" s="222"/>
      <c r="K108" s="222"/>
      <c r="L108" s="222"/>
      <c r="M108" s="222"/>
      <c r="N108" s="222"/>
      <c r="O108" s="222"/>
      <c r="P108" s="2"/>
      <c r="Q108" s="222"/>
      <c r="R108" s="2"/>
      <c r="S108" s="222"/>
      <c r="T108" s="2"/>
      <c r="U108" s="222"/>
      <c r="V108" s="2"/>
      <c r="W108" s="222"/>
      <c r="X108" s="2"/>
      <c r="Y108" s="222"/>
      <c r="Z108" s="2"/>
      <c r="AA108" s="222"/>
      <c r="AB108" s="2"/>
      <c r="AC108" s="222"/>
      <c r="AD108" s="2"/>
      <c r="AE108" s="222"/>
      <c r="AF108" s="2"/>
      <c r="AG108" s="222"/>
      <c r="AH108" s="2"/>
      <c r="AI108" s="2"/>
      <c r="AJ108" s="2"/>
      <c r="AK108" s="2"/>
      <c r="AL108" s="2"/>
      <c r="AM108" s="2"/>
      <c r="AN108" s="2"/>
      <c r="AO108" s="2"/>
      <c r="AP108" s="2"/>
      <c r="AQ108" s="2"/>
      <c r="AR108" s="2"/>
      <c r="AS108" s="2"/>
    </row>
    <row r="109" spans="1:45" x14ac:dyDescent="0.25">
      <c r="A109" s="236"/>
      <c r="B109" s="236"/>
      <c r="C109" s="2"/>
      <c r="D109" s="2"/>
      <c r="E109" s="2"/>
      <c r="F109" s="222"/>
      <c r="G109" s="2"/>
      <c r="H109" s="222"/>
      <c r="I109" s="222"/>
      <c r="J109" s="222"/>
      <c r="K109" s="222"/>
      <c r="L109" s="222"/>
      <c r="M109" s="222"/>
      <c r="N109" s="222"/>
      <c r="O109" s="222"/>
      <c r="P109" s="2"/>
      <c r="Q109" s="222"/>
      <c r="R109" s="2"/>
      <c r="S109" s="222"/>
      <c r="T109" s="2"/>
      <c r="U109" s="222"/>
      <c r="V109" s="2"/>
      <c r="W109" s="222"/>
      <c r="X109" s="2"/>
      <c r="Y109" s="222"/>
      <c r="Z109" s="2"/>
      <c r="AA109" s="222"/>
      <c r="AB109" s="2"/>
      <c r="AC109" s="222"/>
      <c r="AD109" s="2"/>
      <c r="AE109" s="222"/>
      <c r="AF109" s="2"/>
      <c r="AG109" s="222"/>
      <c r="AH109" s="2"/>
      <c r="AI109" s="2"/>
      <c r="AJ109" s="2"/>
      <c r="AK109" s="2"/>
      <c r="AL109" s="2"/>
      <c r="AM109" s="2"/>
      <c r="AN109" s="2"/>
      <c r="AO109" s="2"/>
      <c r="AP109" s="2"/>
      <c r="AQ109" s="2"/>
      <c r="AR109" s="2"/>
      <c r="AS109" s="2"/>
    </row>
    <row r="110" spans="1:45" x14ac:dyDescent="0.25">
      <c r="A110" s="236"/>
      <c r="B110" s="236"/>
      <c r="C110" s="2"/>
      <c r="D110" s="2"/>
      <c r="E110" s="2"/>
      <c r="F110" s="222"/>
      <c r="G110" s="2"/>
      <c r="H110" s="222"/>
      <c r="I110" s="222"/>
      <c r="J110" s="222"/>
      <c r="K110" s="222"/>
      <c r="L110" s="222"/>
      <c r="M110" s="222"/>
      <c r="N110" s="222"/>
      <c r="O110" s="222"/>
      <c r="P110" s="2"/>
      <c r="Q110" s="222"/>
      <c r="R110" s="2"/>
      <c r="S110" s="222"/>
      <c r="T110" s="2"/>
      <c r="U110" s="222"/>
      <c r="V110" s="2"/>
      <c r="W110" s="222"/>
      <c r="X110" s="2"/>
      <c r="Y110" s="222"/>
      <c r="Z110" s="2"/>
      <c r="AA110" s="222"/>
      <c r="AB110" s="2"/>
      <c r="AC110" s="222"/>
      <c r="AD110" s="2"/>
      <c r="AE110" s="222"/>
      <c r="AF110" s="2"/>
      <c r="AG110" s="222"/>
      <c r="AH110" s="2"/>
      <c r="AI110" s="2"/>
      <c r="AJ110" s="2"/>
      <c r="AK110" s="2"/>
      <c r="AL110" s="2"/>
      <c r="AM110" s="2"/>
      <c r="AN110" s="2"/>
      <c r="AO110" s="2"/>
      <c r="AP110" s="2"/>
      <c r="AQ110" s="2"/>
      <c r="AR110" s="2"/>
      <c r="AS110" s="2"/>
    </row>
    <row r="111" spans="1:45" x14ac:dyDescent="0.25">
      <c r="A111" s="236"/>
      <c r="B111" s="236"/>
      <c r="C111" s="2"/>
      <c r="D111" s="2"/>
      <c r="E111" s="2"/>
      <c r="F111" s="222"/>
      <c r="G111" s="2"/>
      <c r="H111" s="222"/>
      <c r="I111" s="222"/>
      <c r="J111" s="222"/>
      <c r="K111" s="222"/>
      <c r="L111" s="222"/>
      <c r="M111" s="222"/>
      <c r="N111" s="222"/>
      <c r="O111" s="222"/>
      <c r="P111" s="2"/>
      <c r="Q111" s="222"/>
      <c r="R111" s="2"/>
      <c r="S111" s="222"/>
      <c r="T111" s="2"/>
      <c r="U111" s="222"/>
      <c r="V111" s="2"/>
      <c r="W111" s="222"/>
      <c r="X111" s="2"/>
      <c r="Y111" s="222"/>
      <c r="Z111" s="2"/>
      <c r="AA111" s="222"/>
      <c r="AB111" s="2"/>
      <c r="AC111" s="222"/>
      <c r="AD111" s="2"/>
      <c r="AE111" s="222"/>
      <c r="AF111" s="2"/>
      <c r="AG111" s="222"/>
      <c r="AH111" s="2"/>
      <c r="AI111" s="2"/>
      <c r="AJ111" s="2"/>
      <c r="AK111" s="2"/>
      <c r="AL111" s="2"/>
      <c r="AM111" s="2"/>
      <c r="AN111" s="2"/>
      <c r="AO111" s="2"/>
      <c r="AP111" s="2"/>
      <c r="AQ111" s="2"/>
      <c r="AR111" s="2"/>
      <c r="AS111" s="2"/>
    </row>
    <row r="112" spans="1:45" x14ac:dyDescent="0.25">
      <c r="A112" s="236"/>
      <c r="B112" s="236"/>
      <c r="C112" s="2"/>
      <c r="D112" s="2"/>
      <c r="E112" s="2"/>
      <c r="F112" s="222"/>
      <c r="G112" s="2"/>
      <c r="H112" s="222"/>
      <c r="I112" s="222"/>
      <c r="J112" s="222"/>
      <c r="K112" s="222"/>
      <c r="L112" s="222"/>
      <c r="M112" s="222"/>
      <c r="N112" s="222"/>
      <c r="O112" s="222"/>
      <c r="P112" s="2"/>
      <c r="Q112" s="222"/>
      <c r="R112" s="2"/>
      <c r="S112" s="222"/>
      <c r="T112" s="2"/>
      <c r="U112" s="222"/>
      <c r="V112" s="2"/>
      <c r="W112" s="222"/>
      <c r="X112" s="2"/>
      <c r="Y112" s="222"/>
      <c r="Z112" s="2"/>
      <c r="AA112" s="222"/>
      <c r="AB112" s="2"/>
      <c r="AC112" s="222"/>
      <c r="AD112" s="2"/>
      <c r="AE112" s="222"/>
      <c r="AF112" s="2"/>
      <c r="AG112" s="222"/>
      <c r="AH112" s="2"/>
      <c r="AI112" s="2"/>
      <c r="AJ112" s="2"/>
      <c r="AK112" s="2"/>
      <c r="AL112" s="2"/>
      <c r="AM112" s="2"/>
      <c r="AN112" s="2"/>
      <c r="AO112" s="2"/>
      <c r="AP112" s="2"/>
      <c r="AQ112" s="2"/>
      <c r="AR112" s="2"/>
      <c r="AS112" s="2"/>
    </row>
    <row r="113" spans="1:45" x14ac:dyDescent="0.25">
      <c r="A113" s="236"/>
      <c r="B113" s="236"/>
      <c r="C113" s="2"/>
      <c r="D113" s="2"/>
      <c r="E113" s="2"/>
      <c r="F113" s="222"/>
      <c r="G113" s="2"/>
      <c r="H113" s="222"/>
      <c r="I113" s="222"/>
      <c r="J113" s="222"/>
      <c r="K113" s="222"/>
      <c r="L113" s="222"/>
      <c r="M113" s="222"/>
      <c r="N113" s="222"/>
      <c r="O113" s="222"/>
      <c r="P113" s="2"/>
      <c r="Q113" s="222"/>
      <c r="R113" s="2"/>
      <c r="S113" s="222"/>
      <c r="T113" s="2"/>
      <c r="U113" s="222"/>
      <c r="V113" s="2"/>
      <c r="W113" s="222"/>
      <c r="X113" s="2"/>
      <c r="Y113" s="222"/>
      <c r="Z113" s="2"/>
      <c r="AA113" s="222"/>
      <c r="AB113" s="2"/>
      <c r="AC113" s="222"/>
      <c r="AD113" s="2"/>
      <c r="AE113" s="222"/>
      <c r="AF113" s="2"/>
      <c r="AG113" s="222"/>
      <c r="AH113" s="2"/>
      <c r="AI113" s="2"/>
      <c r="AJ113" s="2"/>
      <c r="AK113" s="2"/>
      <c r="AL113" s="2"/>
      <c r="AM113" s="2"/>
      <c r="AN113" s="2"/>
      <c r="AO113" s="2"/>
      <c r="AP113" s="2"/>
      <c r="AQ113" s="2"/>
      <c r="AR113" s="2"/>
      <c r="AS113" s="2"/>
    </row>
    <row r="114" spans="1:45" x14ac:dyDescent="0.25">
      <c r="A114" s="236"/>
      <c r="B114" s="236"/>
      <c r="C114" s="2"/>
      <c r="D114" s="2"/>
      <c r="E114" s="2"/>
      <c r="F114" s="222"/>
      <c r="G114" s="2"/>
      <c r="H114" s="222"/>
      <c r="I114" s="222"/>
      <c r="J114" s="222"/>
      <c r="K114" s="222"/>
      <c r="L114" s="222"/>
      <c r="M114" s="222"/>
      <c r="N114" s="222"/>
      <c r="O114" s="222"/>
      <c r="P114" s="2"/>
      <c r="Q114" s="222"/>
      <c r="R114" s="2"/>
      <c r="S114" s="222"/>
      <c r="T114" s="2"/>
      <c r="U114" s="222"/>
      <c r="V114" s="2"/>
      <c r="W114" s="222"/>
      <c r="X114" s="2"/>
      <c r="Y114" s="222"/>
      <c r="Z114" s="2"/>
      <c r="AA114" s="222"/>
      <c r="AB114" s="2"/>
      <c r="AC114" s="222"/>
      <c r="AD114" s="2"/>
      <c r="AE114" s="222"/>
      <c r="AF114" s="2"/>
      <c r="AG114" s="222"/>
      <c r="AH114" s="2"/>
      <c r="AI114" s="2"/>
      <c r="AJ114" s="2"/>
      <c r="AK114" s="2"/>
      <c r="AL114" s="2"/>
      <c r="AM114" s="2"/>
      <c r="AN114" s="2"/>
      <c r="AO114" s="2"/>
      <c r="AP114" s="2"/>
      <c r="AQ114" s="2"/>
      <c r="AR114" s="2"/>
      <c r="AS114" s="2"/>
    </row>
    <row r="115" spans="1:45" x14ac:dyDescent="0.25">
      <c r="A115" s="236"/>
      <c r="B115" s="236"/>
      <c r="C115" s="2"/>
      <c r="D115" s="2"/>
      <c r="E115" s="2"/>
      <c r="F115" s="222"/>
      <c r="G115" s="2"/>
      <c r="H115" s="222"/>
      <c r="I115" s="222"/>
      <c r="J115" s="222"/>
      <c r="K115" s="222"/>
      <c r="L115" s="222"/>
      <c r="M115" s="222"/>
      <c r="N115" s="222"/>
      <c r="O115" s="222"/>
      <c r="P115" s="2"/>
      <c r="Q115" s="222"/>
      <c r="R115" s="2"/>
      <c r="S115" s="222"/>
      <c r="T115" s="2"/>
      <c r="U115" s="222"/>
      <c r="V115" s="2"/>
      <c r="W115" s="222"/>
      <c r="X115" s="2"/>
      <c r="Y115" s="222"/>
      <c r="Z115" s="2"/>
      <c r="AA115" s="222"/>
      <c r="AB115" s="2"/>
      <c r="AC115" s="222"/>
      <c r="AD115" s="2"/>
      <c r="AE115" s="222"/>
      <c r="AF115" s="2"/>
      <c r="AG115" s="222"/>
      <c r="AH115" s="2"/>
      <c r="AI115" s="2"/>
      <c r="AJ115" s="2"/>
      <c r="AK115" s="2"/>
      <c r="AL115" s="2"/>
      <c r="AM115" s="2"/>
      <c r="AN115" s="2"/>
      <c r="AO115" s="2"/>
      <c r="AP115" s="2"/>
      <c r="AQ115" s="2"/>
      <c r="AR115" s="2"/>
      <c r="AS115" s="2"/>
    </row>
    <row r="116" spans="1:45" x14ac:dyDescent="0.25">
      <c r="A116" s="236"/>
      <c r="B116" s="236"/>
      <c r="C116" s="2"/>
      <c r="D116" s="2"/>
      <c r="E116" s="2"/>
      <c r="F116" s="222"/>
      <c r="G116" s="2"/>
      <c r="H116" s="222"/>
      <c r="I116" s="222"/>
      <c r="J116" s="222"/>
      <c r="K116" s="222"/>
      <c r="L116" s="222"/>
      <c r="M116" s="222"/>
      <c r="N116" s="222"/>
      <c r="O116" s="222"/>
      <c r="P116" s="2"/>
      <c r="Q116" s="222"/>
      <c r="R116" s="2"/>
      <c r="S116" s="222"/>
      <c r="T116" s="2"/>
      <c r="U116" s="222"/>
      <c r="V116" s="2"/>
      <c r="W116" s="222"/>
      <c r="X116" s="2"/>
      <c r="Y116" s="222"/>
      <c r="Z116" s="2"/>
      <c r="AA116" s="222"/>
      <c r="AB116" s="2"/>
      <c r="AC116" s="222"/>
      <c r="AD116" s="2"/>
      <c r="AE116" s="222"/>
      <c r="AF116" s="2"/>
      <c r="AG116" s="222"/>
      <c r="AH116" s="2"/>
      <c r="AI116" s="2"/>
      <c r="AJ116" s="2"/>
      <c r="AK116" s="2"/>
      <c r="AL116" s="2"/>
      <c r="AM116" s="2"/>
      <c r="AN116" s="2"/>
      <c r="AO116" s="2"/>
      <c r="AP116" s="2"/>
      <c r="AQ116" s="2"/>
      <c r="AR116" s="2"/>
      <c r="AS116" s="2"/>
    </row>
    <row r="117" spans="1:45" x14ac:dyDescent="0.25">
      <c r="A117" s="236"/>
      <c r="B117" s="236"/>
      <c r="C117" s="2"/>
      <c r="D117" s="2"/>
      <c r="E117" s="2"/>
      <c r="F117" s="222"/>
      <c r="G117" s="2"/>
      <c r="H117" s="222"/>
      <c r="I117" s="222"/>
      <c r="J117" s="222"/>
      <c r="K117" s="222"/>
      <c r="L117" s="222"/>
      <c r="M117" s="222"/>
      <c r="N117" s="222"/>
      <c r="O117" s="222"/>
      <c r="P117" s="2"/>
      <c r="Q117" s="222"/>
      <c r="R117" s="2"/>
      <c r="S117" s="222"/>
      <c r="T117" s="2"/>
      <c r="U117" s="222"/>
      <c r="V117" s="2"/>
      <c r="W117" s="222"/>
      <c r="X117" s="2"/>
      <c r="Y117" s="222"/>
      <c r="Z117" s="2"/>
      <c r="AA117" s="222"/>
      <c r="AB117" s="2"/>
      <c r="AC117" s="222"/>
      <c r="AD117" s="2"/>
      <c r="AE117" s="222"/>
      <c r="AF117" s="2"/>
      <c r="AG117" s="222"/>
      <c r="AH117" s="2"/>
      <c r="AI117" s="2"/>
      <c r="AJ117" s="2"/>
      <c r="AK117" s="2"/>
      <c r="AL117" s="2"/>
      <c r="AM117" s="2"/>
      <c r="AN117" s="2"/>
      <c r="AO117" s="2"/>
      <c r="AP117" s="2"/>
      <c r="AQ117" s="2"/>
      <c r="AR117" s="2"/>
      <c r="AS117" s="2"/>
    </row>
    <row r="118" spans="1:45" x14ac:dyDescent="0.25">
      <c r="A118" s="236"/>
      <c r="B118" s="236"/>
      <c r="C118" s="2"/>
      <c r="D118" s="2"/>
      <c r="E118" s="2"/>
      <c r="F118" s="222"/>
      <c r="G118" s="2"/>
      <c r="H118" s="222"/>
      <c r="I118" s="222"/>
      <c r="J118" s="222"/>
      <c r="K118" s="222"/>
      <c r="L118" s="222"/>
      <c r="M118" s="222"/>
      <c r="N118" s="222"/>
      <c r="O118" s="222"/>
      <c r="P118" s="2"/>
      <c r="Q118" s="222"/>
      <c r="R118" s="2"/>
      <c r="S118" s="222"/>
      <c r="T118" s="2"/>
      <c r="U118" s="222"/>
      <c r="V118" s="2"/>
      <c r="W118" s="222"/>
      <c r="X118" s="2"/>
      <c r="Y118" s="222"/>
      <c r="Z118" s="2"/>
      <c r="AA118" s="222"/>
      <c r="AB118" s="2"/>
      <c r="AC118" s="222"/>
      <c r="AD118" s="2"/>
      <c r="AE118" s="222"/>
      <c r="AF118" s="2"/>
      <c r="AG118" s="222"/>
      <c r="AH118" s="2"/>
      <c r="AI118" s="2"/>
      <c r="AJ118" s="2"/>
      <c r="AK118" s="2"/>
      <c r="AL118" s="2"/>
      <c r="AM118" s="2"/>
      <c r="AN118" s="2"/>
      <c r="AO118" s="2"/>
      <c r="AP118" s="2"/>
      <c r="AQ118" s="2"/>
      <c r="AR118" s="2"/>
      <c r="AS118" s="2"/>
    </row>
    <row r="119" spans="1:45" x14ac:dyDescent="0.25">
      <c r="A119" s="236"/>
      <c r="B119" s="236"/>
      <c r="C119" s="2"/>
      <c r="D119" s="2"/>
      <c r="E119" s="2"/>
      <c r="F119" s="222"/>
      <c r="G119" s="2"/>
      <c r="H119" s="222"/>
      <c r="I119" s="222"/>
      <c r="J119" s="222"/>
      <c r="K119" s="222"/>
      <c r="L119" s="222"/>
      <c r="M119" s="222"/>
      <c r="N119" s="222"/>
      <c r="O119" s="222"/>
      <c r="P119" s="2"/>
      <c r="Q119" s="222"/>
      <c r="R119" s="2"/>
      <c r="S119" s="222"/>
      <c r="T119" s="2"/>
      <c r="U119" s="222"/>
      <c r="V119" s="2"/>
      <c r="W119" s="222"/>
      <c r="X119" s="2"/>
      <c r="Y119" s="222"/>
      <c r="Z119" s="2"/>
      <c r="AA119" s="222"/>
      <c r="AB119" s="2"/>
      <c r="AC119" s="222"/>
      <c r="AD119" s="2"/>
      <c r="AE119" s="222"/>
      <c r="AF119" s="2"/>
      <c r="AG119" s="222"/>
      <c r="AH119" s="2"/>
      <c r="AI119" s="2"/>
      <c r="AJ119" s="2"/>
      <c r="AK119" s="2"/>
      <c r="AL119" s="2"/>
      <c r="AM119" s="2"/>
      <c r="AN119" s="2"/>
      <c r="AO119" s="2"/>
      <c r="AP119" s="2"/>
      <c r="AQ119" s="2"/>
      <c r="AR119" s="2"/>
      <c r="AS119" s="2"/>
    </row>
    <row r="120" spans="1:45" x14ac:dyDescent="0.25">
      <c r="A120" s="236"/>
      <c r="B120" s="236"/>
      <c r="C120" s="2"/>
      <c r="D120" s="2"/>
      <c r="E120" s="2"/>
      <c r="F120" s="222"/>
      <c r="G120" s="2"/>
      <c r="H120" s="222"/>
      <c r="I120" s="222"/>
      <c r="J120" s="222"/>
      <c r="K120" s="222"/>
      <c r="L120" s="222"/>
      <c r="M120" s="222"/>
      <c r="N120" s="222"/>
      <c r="O120" s="222"/>
      <c r="P120" s="2"/>
      <c r="Q120" s="222"/>
      <c r="R120" s="2"/>
      <c r="S120" s="222"/>
      <c r="T120" s="2"/>
      <c r="U120" s="222"/>
      <c r="V120" s="2"/>
      <c r="W120" s="222"/>
      <c r="X120" s="2"/>
      <c r="Y120" s="222"/>
      <c r="Z120" s="2"/>
      <c r="AA120" s="222"/>
      <c r="AB120" s="2"/>
      <c r="AC120" s="222"/>
      <c r="AD120" s="2"/>
      <c r="AE120" s="222"/>
      <c r="AF120" s="2"/>
      <c r="AG120" s="222"/>
      <c r="AH120" s="2"/>
      <c r="AI120" s="2"/>
      <c r="AJ120" s="2"/>
      <c r="AK120" s="2"/>
      <c r="AL120" s="2"/>
      <c r="AM120" s="2"/>
      <c r="AN120" s="2"/>
      <c r="AO120" s="2"/>
      <c r="AP120" s="2"/>
      <c r="AQ120" s="2"/>
      <c r="AR120" s="2"/>
      <c r="AS120" s="2"/>
    </row>
    <row r="121" spans="1:45" x14ac:dyDescent="0.25">
      <c r="A121" s="236"/>
      <c r="B121" s="236"/>
      <c r="C121" s="2"/>
      <c r="D121" s="2"/>
      <c r="E121" s="2"/>
      <c r="F121" s="222"/>
      <c r="G121" s="2"/>
      <c r="H121" s="222"/>
      <c r="I121" s="222"/>
      <c r="J121" s="222"/>
      <c r="K121" s="222"/>
      <c r="L121" s="222"/>
      <c r="M121" s="222"/>
      <c r="N121" s="222"/>
      <c r="O121" s="222"/>
      <c r="P121" s="2"/>
      <c r="Q121" s="222"/>
      <c r="R121" s="2"/>
      <c r="S121" s="222"/>
      <c r="T121" s="2"/>
      <c r="U121" s="222"/>
      <c r="V121" s="2"/>
      <c r="W121" s="222"/>
      <c r="X121" s="2"/>
      <c r="Y121" s="222"/>
      <c r="Z121" s="2"/>
      <c r="AA121" s="222"/>
      <c r="AB121" s="2"/>
      <c r="AC121" s="222"/>
      <c r="AD121" s="2"/>
      <c r="AE121" s="222"/>
      <c r="AF121" s="2"/>
      <c r="AG121" s="222"/>
      <c r="AH121" s="2"/>
      <c r="AI121" s="2"/>
      <c r="AJ121" s="2"/>
      <c r="AK121" s="2"/>
      <c r="AL121" s="2"/>
      <c r="AM121" s="2"/>
      <c r="AN121" s="2"/>
      <c r="AO121" s="2"/>
      <c r="AP121" s="2"/>
      <c r="AQ121" s="2"/>
      <c r="AR121" s="2"/>
      <c r="AS121" s="2"/>
    </row>
    <row r="122" spans="1:45" x14ac:dyDescent="0.25">
      <c r="A122" s="236"/>
      <c r="B122" s="236"/>
      <c r="C122" s="2"/>
      <c r="D122" s="2"/>
      <c r="E122" s="2"/>
      <c r="F122" s="222"/>
      <c r="G122" s="2"/>
      <c r="H122" s="222"/>
      <c r="I122" s="222"/>
      <c r="J122" s="222"/>
      <c r="K122" s="222"/>
      <c r="L122" s="222"/>
      <c r="M122" s="222"/>
      <c r="N122" s="222"/>
      <c r="O122" s="222"/>
      <c r="P122" s="2"/>
      <c r="Q122" s="222"/>
      <c r="R122" s="2"/>
      <c r="S122" s="222"/>
      <c r="T122" s="2"/>
      <c r="U122" s="222"/>
      <c r="V122" s="2"/>
      <c r="W122" s="222"/>
      <c r="X122" s="2"/>
      <c r="Y122" s="222"/>
      <c r="Z122" s="2"/>
      <c r="AA122" s="222"/>
      <c r="AB122" s="2"/>
      <c r="AC122" s="222"/>
      <c r="AD122" s="2"/>
      <c r="AE122" s="222"/>
      <c r="AF122" s="2"/>
      <c r="AG122" s="222"/>
      <c r="AH122" s="2"/>
      <c r="AI122" s="2"/>
      <c r="AJ122" s="2"/>
      <c r="AK122" s="2"/>
      <c r="AL122" s="2"/>
      <c r="AM122" s="2"/>
      <c r="AN122" s="2"/>
      <c r="AO122" s="2"/>
      <c r="AP122" s="2"/>
      <c r="AQ122" s="2"/>
      <c r="AR122" s="2"/>
      <c r="AS122" s="2"/>
    </row>
    <row r="123" spans="1:45" x14ac:dyDescent="0.25">
      <c r="A123" s="236"/>
      <c r="B123" s="236"/>
      <c r="C123" s="2"/>
      <c r="D123" s="2"/>
      <c r="E123" s="2"/>
      <c r="F123" s="222"/>
      <c r="G123" s="2"/>
      <c r="H123" s="222"/>
      <c r="I123" s="222"/>
      <c r="J123" s="222"/>
      <c r="K123" s="222"/>
      <c r="L123" s="222"/>
      <c r="M123" s="222"/>
      <c r="N123" s="222"/>
      <c r="O123" s="222"/>
      <c r="P123" s="2"/>
      <c r="Q123" s="222"/>
      <c r="R123" s="2"/>
      <c r="S123" s="222"/>
      <c r="T123" s="2"/>
      <c r="U123" s="222"/>
      <c r="V123" s="2"/>
      <c r="W123" s="222"/>
      <c r="X123" s="2"/>
      <c r="Y123" s="222"/>
      <c r="Z123" s="2"/>
      <c r="AA123" s="222"/>
      <c r="AB123" s="2"/>
      <c r="AC123" s="222"/>
      <c r="AD123" s="2"/>
      <c r="AE123" s="222"/>
      <c r="AF123" s="2"/>
      <c r="AG123" s="222"/>
      <c r="AH123" s="2"/>
      <c r="AI123" s="2"/>
      <c r="AJ123" s="2"/>
      <c r="AK123" s="2"/>
      <c r="AL123" s="2"/>
      <c r="AM123" s="2"/>
      <c r="AN123" s="2"/>
      <c r="AO123" s="2"/>
      <c r="AP123" s="2"/>
      <c r="AQ123" s="2"/>
      <c r="AR123" s="2"/>
      <c r="AS123" s="2"/>
    </row>
    <row r="124" spans="1:45" x14ac:dyDescent="0.25">
      <c r="A124" s="236"/>
      <c r="B124" s="236"/>
      <c r="C124" s="2"/>
      <c r="D124" s="2"/>
      <c r="E124" s="2"/>
      <c r="F124" s="222"/>
      <c r="G124" s="2"/>
      <c r="H124" s="222"/>
      <c r="I124" s="222"/>
      <c r="J124" s="222"/>
      <c r="K124" s="222"/>
      <c r="L124" s="222"/>
      <c r="M124" s="222"/>
      <c r="N124" s="222"/>
      <c r="O124" s="222"/>
      <c r="P124" s="2"/>
      <c r="Q124" s="222"/>
      <c r="R124" s="2"/>
      <c r="S124" s="222"/>
      <c r="T124" s="2"/>
      <c r="U124" s="222"/>
      <c r="V124" s="2"/>
      <c r="W124" s="222"/>
      <c r="X124" s="2"/>
      <c r="Y124" s="222"/>
      <c r="Z124" s="2"/>
      <c r="AA124" s="222"/>
      <c r="AB124" s="2"/>
      <c r="AC124" s="222"/>
      <c r="AD124" s="2"/>
      <c r="AE124" s="222"/>
      <c r="AF124" s="2"/>
      <c r="AG124" s="222"/>
      <c r="AH124" s="2"/>
      <c r="AI124" s="2"/>
      <c r="AJ124" s="2"/>
      <c r="AK124" s="2"/>
      <c r="AL124" s="2"/>
      <c r="AM124" s="2"/>
      <c r="AN124" s="2"/>
      <c r="AO124" s="2"/>
      <c r="AP124" s="2"/>
      <c r="AQ124" s="2"/>
      <c r="AR124" s="2"/>
      <c r="AS124" s="2"/>
    </row>
    <row r="125" spans="1:45" x14ac:dyDescent="0.25">
      <c r="A125" s="236"/>
      <c r="B125" s="236"/>
      <c r="C125" s="2"/>
      <c r="D125" s="2"/>
      <c r="E125" s="2"/>
      <c r="F125" s="222"/>
      <c r="G125" s="2"/>
      <c r="H125" s="222"/>
      <c r="I125" s="222"/>
      <c r="J125" s="222"/>
      <c r="K125" s="222"/>
      <c r="L125" s="222"/>
      <c r="M125" s="222"/>
      <c r="N125" s="222"/>
      <c r="O125" s="222"/>
      <c r="P125" s="2"/>
      <c r="Q125" s="222"/>
      <c r="R125" s="2"/>
      <c r="S125" s="222"/>
      <c r="T125" s="2"/>
      <c r="U125" s="222"/>
      <c r="V125" s="2"/>
      <c r="W125" s="222"/>
      <c r="X125" s="2"/>
      <c r="Y125" s="222"/>
      <c r="Z125" s="2"/>
      <c r="AA125" s="222"/>
      <c r="AB125" s="2"/>
      <c r="AC125" s="222"/>
      <c r="AD125" s="2"/>
      <c r="AE125" s="222"/>
      <c r="AF125" s="2"/>
      <c r="AG125" s="222"/>
      <c r="AH125" s="2"/>
      <c r="AI125" s="2"/>
      <c r="AJ125" s="2"/>
      <c r="AK125" s="2"/>
      <c r="AL125" s="2"/>
      <c r="AM125" s="2"/>
      <c r="AN125" s="2"/>
      <c r="AO125" s="2"/>
      <c r="AP125" s="2"/>
      <c r="AQ125" s="2"/>
      <c r="AR125" s="2"/>
      <c r="AS125" s="2"/>
    </row>
    <row r="126" spans="1:45" x14ac:dyDescent="0.25">
      <c r="A126" s="236"/>
      <c r="B126" s="236"/>
      <c r="C126" s="2"/>
      <c r="D126" s="2"/>
      <c r="E126" s="2"/>
      <c r="F126" s="222"/>
      <c r="G126" s="2"/>
      <c r="H126" s="222"/>
      <c r="I126" s="222"/>
      <c r="J126" s="222"/>
      <c r="K126" s="222"/>
      <c r="L126" s="222"/>
      <c r="M126" s="222"/>
      <c r="N126" s="222"/>
      <c r="O126" s="222"/>
      <c r="P126" s="2"/>
      <c r="Q126" s="222"/>
      <c r="R126" s="2"/>
      <c r="S126" s="222"/>
      <c r="T126" s="2"/>
      <c r="U126" s="222"/>
      <c r="V126" s="2"/>
      <c r="W126" s="222"/>
      <c r="X126" s="2"/>
      <c r="Y126" s="222"/>
      <c r="Z126" s="2"/>
      <c r="AA126" s="222"/>
      <c r="AB126" s="2"/>
      <c r="AC126" s="222"/>
      <c r="AD126" s="2"/>
      <c r="AE126" s="222"/>
      <c r="AF126" s="2"/>
      <c r="AG126" s="222"/>
      <c r="AH126" s="2"/>
      <c r="AI126" s="2"/>
      <c r="AJ126" s="2"/>
      <c r="AK126" s="2"/>
      <c r="AL126" s="2"/>
      <c r="AM126" s="2"/>
      <c r="AN126" s="2"/>
      <c r="AO126" s="2"/>
      <c r="AP126" s="2"/>
      <c r="AQ126" s="2"/>
      <c r="AR126" s="2"/>
      <c r="AS126" s="2"/>
    </row>
    <row r="127" spans="1:45" x14ac:dyDescent="0.25">
      <c r="A127" s="236"/>
      <c r="B127" s="236"/>
      <c r="C127" s="2"/>
      <c r="D127" s="2"/>
      <c r="E127" s="2"/>
      <c r="F127" s="222"/>
      <c r="G127" s="2"/>
      <c r="H127" s="222"/>
      <c r="I127" s="222"/>
      <c r="J127" s="222"/>
      <c r="K127" s="222"/>
      <c r="L127" s="222"/>
      <c r="M127" s="222"/>
      <c r="N127" s="222"/>
      <c r="O127" s="222"/>
      <c r="P127" s="2"/>
      <c r="Q127" s="222"/>
      <c r="R127" s="2"/>
      <c r="S127" s="222"/>
      <c r="T127" s="2"/>
      <c r="U127" s="222"/>
      <c r="V127" s="2"/>
      <c r="W127" s="222"/>
      <c r="X127" s="2"/>
      <c r="Y127" s="222"/>
      <c r="Z127" s="2"/>
      <c r="AA127" s="222"/>
      <c r="AB127" s="2"/>
      <c r="AC127" s="222"/>
      <c r="AD127" s="2"/>
      <c r="AE127" s="222"/>
      <c r="AF127" s="2"/>
      <c r="AG127" s="222"/>
      <c r="AH127" s="2"/>
      <c r="AI127" s="2"/>
      <c r="AJ127" s="2"/>
      <c r="AK127" s="2"/>
      <c r="AL127" s="2"/>
      <c r="AM127" s="2"/>
      <c r="AN127" s="2"/>
      <c r="AO127" s="2"/>
      <c r="AP127" s="2"/>
      <c r="AQ127" s="2"/>
      <c r="AR127" s="2"/>
      <c r="AS127" s="2"/>
    </row>
    <row r="128" spans="1:45" x14ac:dyDescent="0.25">
      <c r="A128" s="236"/>
      <c r="B128" s="236"/>
      <c r="C128" s="2"/>
      <c r="D128" s="2"/>
      <c r="E128" s="2"/>
      <c r="F128" s="222"/>
      <c r="G128" s="2"/>
      <c r="H128" s="222"/>
      <c r="I128" s="222"/>
      <c r="J128" s="222"/>
      <c r="K128" s="222"/>
      <c r="L128" s="222"/>
      <c r="M128" s="222"/>
      <c r="N128" s="222"/>
      <c r="O128" s="222"/>
      <c r="P128" s="2"/>
      <c r="Q128" s="222"/>
      <c r="R128" s="2"/>
      <c r="S128" s="222"/>
      <c r="T128" s="2"/>
      <c r="U128" s="222"/>
      <c r="V128" s="2"/>
      <c r="W128" s="222"/>
      <c r="X128" s="2"/>
      <c r="Y128" s="222"/>
      <c r="Z128" s="2"/>
      <c r="AA128" s="222"/>
      <c r="AB128" s="2"/>
      <c r="AC128" s="222"/>
      <c r="AD128" s="2"/>
      <c r="AE128" s="222"/>
      <c r="AF128" s="2"/>
      <c r="AG128" s="222"/>
      <c r="AH128" s="2"/>
      <c r="AI128" s="2"/>
      <c r="AJ128" s="2"/>
      <c r="AK128" s="2"/>
      <c r="AL128" s="2"/>
      <c r="AM128" s="2"/>
      <c r="AN128" s="2"/>
      <c r="AO128" s="2"/>
      <c r="AP128" s="2"/>
      <c r="AQ128" s="2"/>
      <c r="AR128" s="2"/>
      <c r="AS128" s="2"/>
    </row>
    <row r="129" spans="1:45" x14ac:dyDescent="0.25">
      <c r="A129" s="236"/>
      <c r="B129" s="236"/>
      <c r="C129" s="2"/>
      <c r="D129" s="2"/>
      <c r="E129" s="2"/>
      <c r="F129" s="222"/>
      <c r="G129" s="2"/>
      <c r="H129" s="222"/>
      <c r="I129" s="222"/>
      <c r="J129" s="222"/>
      <c r="K129" s="222"/>
      <c r="L129" s="222"/>
      <c r="M129" s="222"/>
      <c r="N129" s="222"/>
      <c r="O129" s="222"/>
      <c r="P129" s="2"/>
      <c r="Q129" s="222"/>
      <c r="R129" s="2"/>
      <c r="S129" s="222"/>
      <c r="T129" s="2"/>
      <c r="U129" s="222"/>
      <c r="V129" s="2"/>
      <c r="W129" s="222"/>
      <c r="X129" s="2"/>
      <c r="Y129" s="222"/>
      <c r="Z129" s="2"/>
      <c r="AA129" s="222"/>
      <c r="AB129" s="2"/>
      <c r="AC129" s="222"/>
      <c r="AD129" s="2"/>
      <c r="AE129" s="222"/>
      <c r="AF129" s="2"/>
      <c r="AG129" s="222"/>
      <c r="AH129" s="2"/>
      <c r="AI129" s="2"/>
      <c r="AJ129" s="2"/>
      <c r="AK129" s="2"/>
      <c r="AL129" s="2"/>
      <c r="AM129" s="2"/>
      <c r="AN129" s="2"/>
      <c r="AO129" s="2"/>
      <c r="AP129" s="2"/>
      <c r="AQ129" s="2"/>
      <c r="AR129" s="2"/>
      <c r="AS129" s="2"/>
    </row>
    <row r="130" spans="1:45" x14ac:dyDescent="0.25">
      <c r="A130" s="236"/>
      <c r="B130" s="236"/>
      <c r="C130" s="2"/>
      <c r="D130" s="2"/>
      <c r="E130" s="2"/>
      <c r="F130" s="222"/>
      <c r="G130" s="2"/>
      <c r="H130" s="222"/>
      <c r="I130" s="222"/>
      <c r="J130" s="222"/>
      <c r="K130" s="222"/>
      <c r="L130" s="222"/>
      <c r="M130" s="222"/>
      <c r="N130" s="222"/>
      <c r="O130" s="222"/>
      <c r="P130" s="2"/>
      <c r="Q130" s="222"/>
      <c r="R130" s="2"/>
      <c r="S130" s="222"/>
      <c r="T130" s="2"/>
      <c r="U130" s="222"/>
      <c r="V130" s="2"/>
      <c r="W130" s="222"/>
      <c r="X130" s="2"/>
      <c r="Y130" s="222"/>
      <c r="Z130" s="2"/>
      <c r="AA130" s="222"/>
      <c r="AB130" s="2"/>
      <c r="AC130" s="222"/>
      <c r="AD130" s="2"/>
      <c r="AE130" s="222"/>
      <c r="AF130" s="2"/>
      <c r="AG130" s="222"/>
      <c r="AH130" s="2"/>
      <c r="AI130" s="2"/>
      <c r="AJ130" s="2"/>
      <c r="AK130" s="2"/>
      <c r="AL130" s="2"/>
      <c r="AM130" s="2"/>
      <c r="AN130" s="2"/>
      <c r="AO130" s="2"/>
      <c r="AP130" s="2"/>
      <c r="AQ130" s="2"/>
      <c r="AR130" s="2"/>
      <c r="AS130" s="2"/>
    </row>
    <row r="131" spans="1:45" x14ac:dyDescent="0.25">
      <c r="A131" s="236"/>
      <c r="B131" s="236"/>
      <c r="C131" s="2"/>
      <c r="D131" s="2"/>
      <c r="E131" s="2"/>
      <c r="F131" s="222"/>
      <c r="G131" s="2"/>
      <c r="H131" s="222"/>
      <c r="I131" s="222"/>
      <c r="J131" s="222"/>
      <c r="K131" s="222"/>
      <c r="L131" s="222"/>
      <c r="M131" s="222"/>
      <c r="N131" s="222"/>
      <c r="O131" s="222"/>
      <c r="P131" s="2"/>
      <c r="Q131" s="222"/>
      <c r="R131" s="2"/>
      <c r="S131" s="222"/>
      <c r="T131" s="2"/>
      <c r="U131" s="222"/>
      <c r="V131" s="2"/>
      <c r="W131" s="222"/>
      <c r="X131" s="2"/>
      <c r="Y131" s="222"/>
      <c r="Z131" s="2"/>
      <c r="AA131" s="222"/>
      <c r="AB131" s="2"/>
      <c r="AC131" s="222"/>
      <c r="AD131" s="2"/>
      <c r="AE131" s="222"/>
      <c r="AF131" s="2"/>
      <c r="AG131" s="222"/>
      <c r="AH131" s="2"/>
      <c r="AI131" s="2"/>
      <c r="AJ131" s="2"/>
      <c r="AK131" s="2"/>
      <c r="AL131" s="2"/>
      <c r="AM131" s="2"/>
      <c r="AN131" s="2"/>
      <c r="AO131" s="2"/>
      <c r="AP131" s="2"/>
      <c r="AQ131" s="2"/>
      <c r="AR131" s="2"/>
      <c r="AS131" s="2"/>
    </row>
    <row r="132" spans="1:45" x14ac:dyDescent="0.25">
      <c r="A132" s="236"/>
      <c r="B132" s="236"/>
      <c r="C132" s="2"/>
      <c r="D132" s="2"/>
      <c r="E132" s="2"/>
      <c r="F132" s="222"/>
      <c r="G132" s="2"/>
      <c r="H132" s="222"/>
      <c r="I132" s="222"/>
      <c r="J132" s="222"/>
      <c r="K132" s="222"/>
      <c r="L132" s="222"/>
      <c r="M132" s="222"/>
      <c r="N132" s="222"/>
      <c r="O132" s="222"/>
      <c r="P132" s="2"/>
      <c r="Q132" s="222"/>
      <c r="R132" s="2"/>
      <c r="S132" s="222"/>
      <c r="T132" s="2"/>
      <c r="U132" s="222"/>
      <c r="V132" s="2"/>
      <c r="W132" s="222"/>
      <c r="X132" s="2"/>
      <c r="Y132" s="222"/>
      <c r="Z132" s="2"/>
      <c r="AA132" s="222"/>
      <c r="AB132" s="2"/>
      <c r="AC132" s="222"/>
      <c r="AD132" s="2"/>
      <c r="AE132" s="222"/>
      <c r="AF132" s="2"/>
      <c r="AG132" s="222"/>
      <c r="AH132" s="2"/>
      <c r="AI132" s="2"/>
      <c r="AJ132" s="2"/>
      <c r="AK132" s="2"/>
      <c r="AL132" s="2"/>
      <c r="AM132" s="2"/>
      <c r="AN132" s="2"/>
      <c r="AO132" s="2"/>
      <c r="AP132" s="2"/>
      <c r="AQ132" s="2"/>
      <c r="AR132" s="2"/>
      <c r="AS132" s="2"/>
    </row>
    <row r="133" spans="1:45" x14ac:dyDescent="0.25">
      <c r="A133" s="236"/>
      <c r="B133" s="236"/>
      <c r="C133" s="2"/>
      <c r="D133" s="2"/>
      <c r="E133" s="2"/>
      <c r="F133" s="222"/>
      <c r="G133" s="2"/>
      <c r="H133" s="222"/>
      <c r="I133" s="222"/>
      <c r="J133" s="222"/>
      <c r="K133" s="222"/>
      <c r="L133" s="222"/>
      <c r="M133" s="222"/>
      <c r="N133" s="222"/>
      <c r="O133" s="222"/>
      <c r="P133" s="2"/>
      <c r="Q133" s="222"/>
      <c r="R133" s="2"/>
      <c r="S133" s="222"/>
      <c r="T133" s="2"/>
      <c r="U133" s="222"/>
      <c r="V133" s="2"/>
      <c r="W133" s="222"/>
      <c r="X133" s="2"/>
      <c r="Y133" s="222"/>
      <c r="Z133" s="2"/>
      <c r="AA133" s="222"/>
      <c r="AB133" s="2"/>
      <c r="AC133" s="222"/>
      <c r="AD133" s="2"/>
      <c r="AE133" s="222"/>
      <c r="AF133" s="2"/>
      <c r="AG133" s="222"/>
      <c r="AH133" s="2"/>
      <c r="AI133" s="2"/>
      <c r="AJ133" s="2"/>
      <c r="AK133" s="2"/>
      <c r="AL133" s="2"/>
      <c r="AM133" s="2"/>
      <c r="AN133" s="2"/>
      <c r="AO133" s="2"/>
      <c r="AP133" s="2"/>
      <c r="AQ133" s="2"/>
      <c r="AR133" s="2"/>
      <c r="AS133" s="2"/>
    </row>
    <row r="134" spans="1:45" x14ac:dyDescent="0.25">
      <c r="A134" s="236"/>
      <c r="B134" s="236"/>
      <c r="C134" s="2"/>
      <c r="D134" s="2"/>
      <c r="E134" s="2"/>
      <c r="F134" s="222"/>
      <c r="G134" s="2"/>
      <c r="H134" s="222"/>
      <c r="I134" s="222"/>
      <c r="J134" s="222"/>
      <c r="K134" s="222"/>
      <c r="L134" s="222"/>
      <c r="M134" s="222"/>
      <c r="N134" s="222"/>
      <c r="O134" s="222"/>
      <c r="P134" s="2"/>
      <c r="Q134" s="222"/>
      <c r="R134" s="2"/>
      <c r="S134" s="222"/>
      <c r="T134" s="2"/>
      <c r="U134" s="222"/>
      <c r="V134" s="2"/>
      <c r="W134" s="222"/>
      <c r="X134" s="2"/>
      <c r="Y134" s="222"/>
      <c r="Z134" s="2"/>
      <c r="AA134" s="222"/>
      <c r="AB134" s="2"/>
      <c r="AC134" s="222"/>
      <c r="AD134" s="2"/>
      <c r="AE134" s="222"/>
      <c r="AF134" s="2"/>
      <c r="AG134" s="222"/>
      <c r="AH134" s="2"/>
      <c r="AI134" s="2"/>
      <c r="AJ134" s="2"/>
      <c r="AK134" s="2"/>
      <c r="AL134" s="2"/>
      <c r="AM134" s="2"/>
      <c r="AN134" s="2"/>
      <c r="AO134" s="2"/>
      <c r="AP134" s="2"/>
      <c r="AQ134" s="2"/>
      <c r="AR134" s="2"/>
      <c r="AS134" s="2"/>
    </row>
    <row r="135" spans="1:45" x14ac:dyDescent="0.25">
      <c r="A135" s="236"/>
      <c r="B135" s="236"/>
      <c r="C135" s="2"/>
      <c r="D135" s="2"/>
      <c r="E135" s="2"/>
      <c r="F135" s="222"/>
      <c r="G135" s="2"/>
      <c r="H135" s="222"/>
      <c r="I135" s="222"/>
      <c r="J135" s="222"/>
      <c r="K135" s="222"/>
      <c r="L135" s="222"/>
      <c r="M135" s="222"/>
      <c r="N135" s="222"/>
      <c r="O135" s="222"/>
      <c r="P135" s="2"/>
      <c r="Q135" s="222"/>
      <c r="R135" s="2"/>
      <c r="S135" s="222"/>
      <c r="T135" s="2"/>
      <c r="U135" s="222"/>
      <c r="V135" s="2"/>
      <c r="W135" s="222"/>
      <c r="X135" s="2"/>
      <c r="Y135" s="222"/>
      <c r="Z135" s="2"/>
      <c r="AA135" s="222"/>
      <c r="AB135" s="2"/>
      <c r="AC135" s="222"/>
      <c r="AD135" s="2"/>
      <c r="AE135" s="222"/>
      <c r="AF135" s="2"/>
      <c r="AG135" s="222"/>
      <c r="AH135" s="2"/>
      <c r="AI135" s="2"/>
      <c r="AJ135" s="2"/>
      <c r="AK135" s="2"/>
      <c r="AL135" s="2"/>
      <c r="AM135" s="2"/>
      <c r="AN135" s="2"/>
      <c r="AO135" s="2"/>
      <c r="AP135" s="2"/>
      <c r="AQ135" s="2"/>
      <c r="AR135" s="2"/>
      <c r="AS135" s="2"/>
    </row>
    <row r="136" spans="1:45" x14ac:dyDescent="0.25">
      <c r="A136" s="236"/>
      <c r="B136" s="236"/>
      <c r="C136" s="2"/>
      <c r="D136" s="2"/>
      <c r="E136" s="2"/>
      <c r="F136" s="222"/>
      <c r="G136" s="2"/>
      <c r="H136" s="222"/>
      <c r="I136" s="222"/>
      <c r="J136" s="222"/>
      <c r="K136" s="222"/>
      <c r="L136" s="222"/>
      <c r="M136" s="222"/>
      <c r="N136" s="222"/>
      <c r="O136" s="222"/>
      <c r="P136" s="2"/>
      <c r="Q136" s="222"/>
      <c r="R136" s="2"/>
      <c r="S136" s="222"/>
      <c r="T136" s="2"/>
      <c r="U136" s="222"/>
      <c r="V136" s="2"/>
      <c r="W136" s="222"/>
      <c r="X136" s="2"/>
      <c r="Y136" s="222"/>
      <c r="Z136" s="2"/>
      <c r="AA136" s="222"/>
      <c r="AB136" s="2"/>
      <c r="AC136" s="222"/>
      <c r="AD136" s="2"/>
      <c r="AE136" s="222"/>
      <c r="AF136" s="2"/>
      <c r="AG136" s="222"/>
      <c r="AH136" s="2"/>
      <c r="AI136" s="2"/>
      <c r="AJ136" s="2"/>
      <c r="AK136" s="2"/>
      <c r="AL136" s="2"/>
      <c r="AM136" s="2"/>
      <c r="AN136" s="2"/>
      <c r="AO136" s="2"/>
      <c r="AP136" s="2"/>
      <c r="AQ136" s="2"/>
      <c r="AR136" s="2"/>
      <c r="AS136" s="2"/>
    </row>
    <row r="137" spans="1:45" x14ac:dyDescent="0.25">
      <c r="A137" s="2"/>
      <c r="B137" s="2"/>
      <c r="C137" s="2"/>
      <c r="D137" s="2"/>
      <c r="E137" s="2"/>
      <c r="F137" s="222"/>
      <c r="G137" s="2"/>
      <c r="H137" s="222"/>
      <c r="I137" s="222"/>
      <c r="J137" s="222"/>
      <c r="K137" s="222"/>
      <c r="L137" s="222"/>
      <c r="M137" s="222"/>
      <c r="N137" s="222"/>
      <c r="O137" s="222"/>
      <c r="P137" s="2"/>
      <c r="Q137" s="222"/>
      <c r="R137" s="2"/>
      <c r="S137" s="222"/>
      <c r="T137" s="2"/>
      <c r="U137" s="222"/>
      <c r="V137" s="2"/>
      <c r="W137" s="222"/>
      <c r="X137" s="2"/>
      <c r="Y137" s="222"/>
      <c r="Z137" s="2"/>
      <c r="AA137" s="222"/>
      <c r="AB137" s="2"/>
      <c r="AC137" s="222"/>
      <c r="AD137" s="2"/>
      <c r="AE137" s="222"/>
      <c r="AF137" s="2"/>
      <c r="AG137" s="222"/>
      <c r="AH137" s="2"/>
      <c r="AI137" s="2"/>
      <c r="AJ137" s="2"/>
      <c r="AK137" s="2"/>
      <c r="AL137" s="2"/>
      <c r="AM137" s="2"/>
      <c r="AN137" s="2"/>
      <c r="AO137" s="2"/>
      <c r="AP137" s="2"/>
      <c r="AQ137" s="2"/>
      <c r="AR137" s="2"/>
      <c r="AS137" s="2"/>
    </row>
    <row r="138" spans="1:45" x14ac:dyDescent="0.25">
      <c r="A138" s="2"/>
      <c r="B138" s="2"/>
      <c r="C138" s="2"/>
      <c r="D138" s="2"/>
      <c r="E138" s="2"/>
      <c r="F138" s="222"/>
      <c r="G138" s="2"/>
      <c r="H138" s="222"/>
      <c r="I138" s="222"/>
      <c r="J138" s="222"/>
      <c r="K138" s="222"/>
      <c r="L138" s="222"/>
      <c r="M138" s="222"/>
      <c r="N138" s="222"/>
      <c r="O138" s="222"/>
      <c r="P138" s="2"/>
      <c r="Q138" s="222"/>
      <c r="R138" s="2"/>
      <c r="S138" s="222"/>
      <c r="T138" s="2"/>
      <c r="U138" s="222"/>
      <c r="V138" s="2"/>
      <c r="W138" s="222"/>
      <c r="X138" s="2"/>
      <c r="Y138" s="222"/>
      <c r="Z138" s="2"/>
      <c r="AA138" s="222"/>
      <c r="AB138" s="2"/>
      <c r="AC138" s="222"/>
      <c r="AD138" s="2"/>
      <c r="AE138" s="222"/>
      <c r="AF138" s="2"/>
      <c r="AG138" s="222"/>
      <c r="AH138" s="2"/>
      <c r="AI138" s="2"/>
      <c r="AJ138" s="2"/>
      <c r="AK138" s="2"/>
      <c r="AL138" s="2"/>
      <c r="AM138" s="2"/>
      <c r="AN138" s="2"/>
      <c r="AO138" s="2"/>
      <c r="AP138" s="2"/>
      <c r="AQ138" s="2"/>
      <c r="AR138" s="2"/>
      <c r="AS138" s="2"/>
    </row>
    <row r="139" spans="1:45" x14ac:dyDescent="0.25">
      <c r="A139" s="2"/>
      <c r="B139" s="2"/>
      <c r="C139" s="2"/>
      <c r="D139" s="2"/>
      <c r="E139" s="2"/>
      <c r="F139" s="222"/>
      <c r="G139" s="2"/>
      <c r="H139" s="222"/>
      <c r="I139" s="222"/>
      <c r="J139" s="222"/>
      <c r="K139" s="222"/>
      <c r="L139" s="222"/>
      <c r="M139" s="222"/>
      <c r="N139" s="222"/>
      <c r="O139" s="222"/>
      <c r="P139" s="2"/>
      <c r="Q139" s="222"/>
      <c r="R139" s="2"/>
      <c r="S139" s="222"/>
      <c r="T139" s="2"/>
      <c r="U139" s="222"/>
      <c r="V139" s="2"/>
      <c r="W139" s="222"/>
      <c r="X139" s="2"/>
      <c r="Y139" s="222"/>
      <c r="Z139" s="2"/>
      <c r="AA139" s="222"/>
      <c r="AB139" s="2"/>
      <c r="AC139" s="222"/>
      <c r="AD139" s="2"/>
      <c r="AE139" s="222"/>
      <c r="AF139" s="2"/>
      <c r="AG139" s="222"/>
      <c r="AH139" s="2"/>
      <c r="AI139" s="2"/>
      <c r="AJ139" s="2"/>
      <c r="AK139" s="2"/>
      <c r="AL139" s="2"/>
      <c r="AM139" s="2"/>
      <c r="AN139" s="2"/>
      <c r="AO139" s="2"/>
      <c r="AP139" s="2"/>
      <c r="AQ139" s="2"/>
      <c r="AR139" s="2"/>
      <c r="AS139" s="2"/>
    </row>
    <row r="140" spans="1:45" x14ac:dyDescent="0.25">
      <c r="A140" s="2"/>
      <c r="B140" s="2"/>
      <c r="C140" s="2"/>
      <c r="D140" s="2"/>
      <c r="E140" s="2"/>
      <c r="F140" s="222"/>
      <c r="G140" s="2"/>
      <c r="H140" s="222"/>
      <c r="I140" s="222"/>
      <c r="J140" s="222"/>
      <c r="K140" s="222"/>
      <c r="L140" s="222"/>
      <c r="M140" s="222"/>
      <c r="N140" s="222"/>
      <c r="O140" s="222"/>
      <c r="P140" s="2"/>
      <c r="Q140" s="222"/>
      <c r="R140" s="2"/>
      <c r="S140" s="222"/>
      <c r="T140" s="2"/>
      <c r="U140" s="222"/>
      <c r="V140" s="2"/>
      <c r="W140" s="222"/>
      <c r="X140" s="2"/>
      <c r="Y140" s="222"/>
      <c r="Z140" s="2"/>
      <c r="AA140" s="222"/>
      <c r="AB140" s="2"/>
      <c r="AC140" s="222"/>
      <c r="AD140" s="2"/>
      <c r="AE140" s="222"/>
      <c r="AF140" s="2"/>
      <c r="AG140" s="222"/>
      <c r="AH140" s="2"/>
      <c r="AI140" s="2"/>
      <c r="AJ140" s="2"/>
      <c r="AK140" s="2"/>
      <c r="AL140" s="2"/>
      <c r="AM140" s="2"/>
      <c r="AN140" s="2"/>
      <c r="AO140" s="2"/>
      <c r="AP140" s="2"/>
      <c r="AQ140" s="2"/>
      <c r="AR140" s="2"/>
      <c r="AS140" s="2"/>
    </row>
    <row r="141" spans="1:45" x14ac:dyDescent="0.25">
      <c r="A141" s="2"/>
      <c r="B141" s="2"/>
      <c r="C141" s="2"/>
      <c r="D141" s="2"/>
      <c r="E141" s="2"/>
      <c r="F141" s="222"/>
      <c r="G141" s="2"/>
      <c r="H141" s="222"/>
      <c r="I141" s="222"/>
      <c r="J141" s="222"/>
      <c r="K141" s="222"/>
      <c r="L141" s="222"/>
      <c r="M141" s="222"/>
      <c r="N141" s="222"/>
      <c r="O141" s="222"/>
      <c r="P141" s="2"/>
      <c r="Q141" s="222"/>
      <c r="R141" s="2"/>
      <c r="S141" s="222"/>
      <c r="T141" s="2"/>
      <c r="U141" s="222"/>
      <c r="V141" s="2"/>
      <c r="W141" s="222"/>
      <c r="X141" s="2"/>
      <c r="Y141" s="222"/>
      <c r="Z141" s="2"/>
      <c r="AA141" s="222"/>
      <c r="AB141" s="2"/>
      <c r="AC141" s="222"/>
      <c r="AD141" s="2"/>
      <c r="AE141" s="222"/>
      <c r="AF141" s="2"/>
      <c r="AG141" s="222"/>
      <c r="AH141" s="2"/>
      <c r="AI141" s="2"/>
      <c r="AJ141" s="2"/>
      <c r="AK141" s="2"/>
      <c r="AL141" s="2"/>
      <c r="AM141" s="2"/>
      <c r="AN141" s="2"/>
      <c r="AO141" s="2"/>
      <c r="AP141" s="2"/>
      <c r="AQ141" s="2"/>
      <c r="AR141" s="2"/>
      <c r="AS141" s="2"/>
    </row>
    <row r="142" spans="1:45" x14ac:dyDescent="0.25">
      <c r="A142" s="2"/>
      <c r="B142" s="2"/>
      <c r="C142" s="2"/>
      <c r="D142" s="2"/>
      <c r="E142" s="2"/>
      <c r="F142" s="222"/>
      <c r="G142" s="2"/>
      <c r="H142" s="222"/>
      <c r="I142" s="222"/>
      <c r="J142" s="222"/>
      <c r="K142" s="222"/>
      <c r="L142" s="222"/>
      <c r="M142" s="222"/>
      <c r="N142" s="222"/>
      <c r="O142" s="222"/>
      <c r="P142" s="2"/>
      <c r="Q142" s="222"/>
      <c r="R142" s="2"/>
      <c r="S142" s="222"/>
      <c r="T142" s="2"/>
      <c r="U142" s="222"/>
      <c r="V142" s="2"/>
      <c r="W142" s="222"/>
      <c r="X142" s="2"/>
      <c r="Y142" s="222"/>
      <c r="Z142" s="2"/>
      <c r="AA142" s="222"/>
      <c r="AB142" s="2"/>
      <c r="AC142" s="222"/>
      <c r="AD142" s="2"/>
      <c r="AE142" s="222"/>
      <c r="AF142" s="2"/>
      <c r="AG142" s="222"/>
      <c r="AH142" s="2"/>
      <c r="AI142" s="2"/>
      <c r="AJ142" s="2"/>
      <c r="AK142" s="2"/>
      <c r="AL142" s="2"/>
      <c r="AM142" s="2"/>
      <c r="AN142" s="2"/>
      <c r="AO142" s="2"/>
      <c r="AP142" s="2"/>
      <c r="AQ142" s="2"/>
      <c r="AR142" s="2"/>
      <c r="AS142" s="2"/>
    </row>
    <row r="143" spans="1:45" x14ac:dyDescent="0.25">
      <c r="A143" s="2"/>
      <c r="B143" s="2"/>
      <c r="C143" s="2"/>
      <c r="D143" s="2"/>
      <c r="E143" s="2"/>
      <c r="F143" s="222"/>
      <c r="G143" s="2"/>
      <c r="H143" s="222"/>
      <c r="I143" s="222"/>
      <c r="J143" s="222"/>
      <c r="K143" s="222"/>
      <c r="L143" s="222"/>
      <c r="M143" s="222"/>
      <c r="N143" s="222"/>
      <c r="O143" s="222"/>
      <c r="P143" s="2"/>
      <c r="Q143" s="222"/>
      <c r="R143" s="2"/>
      <c r="S143" s="222"/>
      <c r="T143" s="2"/>
      <c r="U143" s="222"/>
      <c r="V143" s="2"/>
      <c r="W143" s="222"/>
      <c r="X143" s="2"/>
      <c r="Y143" s="222"/>
      <c r="Z143" s="2"/>
      <c r="AA143" s="222"/>
      <c r="AB143" s="2"/>
      <c r="AC143" s="222"/>
      <c r="AD143" s="2"/>
      <c r="AE143" s="222"/>
      <c r="AF143" s="2"/>
      <c r="AG143" s="222"/>
      <c r="AH143" s="2"/>
      <c r="AI143" s="2"/>
      <c r="AJ143" s="2"/>
      <c r="AK143" s="2"/>
      <c r="AL143" s="2"/>
      <c r="AM143" s="2"/>
      <c r="AN143" s="2"/>
      <c r="AO143" s="2"/>
      <c r="AP143" s="2"/>
      <c r="AQ143" s="2"/>
      <c r="AR143" s="2"/>
      <c r="AS143" s="2"/>
    </row>
    <row r="144" spans="1:45" x14ac:dyDescent="0.25">
      <c r="A144" s="2"/>
      <c r="B144" s="2"/>
      <c r="C144" s="2"/>
      <c r="D144" s="2"/>
      <c r="E144" s="2"/>
      <c r="F144" s="222"/>
      <c r="G144" s="2"/>
      <c r="H144" s="222"/>
      <c r="I144" s="222"/>
      <c r="J144" s="222"/>
      <c r="K144" s="222"/>
      <c r="L144" s="222"/>
      <c r="M144" s="222"/>
      <c r="N144" s="222"/>
      <c r="O144" s="222"/>
      <c r="P144" s="2"/>
      <c r="Q144" s="222"/>
      <c r="R144" s="2"/>
      <c r="S144" s="222"/>
      <c r="T144" s="2"/>
      <c r="U144" s="222"/>
      <c r="V144" s="2"/>
      <c r="W144" s="222"/>
      <c r="X144" s="2"/>
      <c r="Y144" s="222"/>
      <c r="Z144" s="2"/>
      <c r="AA144" s="222"/>
      <c r="AB144" s="2"/>
      <c r="AC144" s="222"/>
      <c r="AD144" s="2"/>
      <c r="AE144" s="222"/>
      <c r="AF144" s="2"/>
      <c r="AG144" s="222"/>
      <c r="AH144" s="2"/>
      <c r="AI144" s="2"/>
      <c r="AJ144" s="2"/>
      <c r="AK144" s="2"/>
      <c r="AL144" s="2"/>
      <c r="AM144" s="2"/>
      <c r="AN144" s="2"/>
      <c r="AO144" s="2"/>
      <c r="AP144" s="2"/>
      <c r="AQ144" s="2"/>
      <c r="AR144" s="2"/>
      <c r="AS144" s="2"/>
    </row>
    <row r="145" spans="1:45" x14ac:dyDescent="0.25">
      <c r="A145" s="2"/>
      <c r="B145" s="2"/>
      <c r="C145" s="2"/>
      <c r="D145" s="2"/>
      <c r="E145" s="2"/>
      <c r="F145" s="222"/>
      <c r="G145" s="2"/>
      <c r="H145" s="222"/>
      <c r="I145" s="222"/>
      <c r="J145" s="222"/>
      <c r="K145" s="222"/>
      <c r="L145" s="222"/>
      <c r="M145" s="222"/>
      <c r="N145" s="222"/>
      <c r="O145" s="222"/>
      <c r="P145" s="2"/>
      <c r="Q145" s="222"/>
      <c r="R145" s="2"/>
      <c r="S145" s="222"/>
      <c r="T145" s="2"/>
      <c r="U145" s="222"/>
      <c r="V145" s="2"/>
      <c r="W145" s="222"/>
      <c r="X145" s="2"/>
      <c r="Y145" s="222"/>
      <c r="Z145" s="2"/>
      <c r="AA145" s="222"/>
      <c r="AB145" s="2"/>
      <c r="AC145" s="222"/>
      <c r="AD145" s="2"/>
      <c r="AE145" s="222"/>
      <c r="AF145" s="2"/>
      <c r="AG145" s="222"/>
      <c r="AH145" s="2"/>
      <c r="AI145" s="2"/>
      <c r="AJ145" s="2"/>
      <c r="AK145" s="2"/>
      <c r="AL145" s="2"/>
      <c r="AM145" s="2"/>
      <c r="AN145" s="2"/>
      <c r="AO145" s="2"/>
      <c r="AP145" s="2"/>
      <c r="AQ145" s="2"/>
      <c r="AR145" s="2"/>
      <c r="AS145" s="2"/>
    </row>
    <row r="146" spans="1:45" x14ac:dyDescent="0.25">
      <c r="A146" s="2"/>
      <c r="B146" s="2"/>
      <c r="C146" s="2"/>
      <c r="D146" s="2"/>
      <c r="E146" s="2"/>
      <c r="F146" s="222"/>
      <c r="G146" s="2"/>
      <c r="H146" s="222"/>
      <c r="I146" s="222"/>
      <c r="J146" s="222"/>
      <c r="K146" s="222"/>
      <c r="L146" s="222"/>
      <c r="M146" s="222"/>
      <c r="N146" s="222"/>
      <c r="O146" s="222"/>
      <c r="P146" s="2"/>
      <c r="Q146" s="222"/>
      <c r="R146" s="2"/>
      <c r="S146" s="222"/>
      <c r="T146" s="2"/>
      <c r="U146" s="222"/>
      <c r="V146" s="2"/>
      <c r="W146" s="222"/>
      <c r="X146" s="2"/>
      <c r="Y146" s="222"/>
      <c r="Z146" s="2"/>
      <c r="AA146" s="222"/>
      <c r="AB146" s="2"/>
      <c r="AC146" s="222"/>
      <c r="AD146" s="2"/>
      <c r="AE146" s="222"/>
      <c r="AF146" s="2"/>
      <c r="AG146" s="222"/>
      <c r="AH146" s="2"/>
      <c r="AI146" s="2"/>
      <c r="AJ146" s="2"/>
      <c r="AK146" s="2"/>
      <c r="AL146" s="2"/>
      <c r="AM146" s="2"/>
      <c r="AN146" s="2"/>
      <c r="AO146" s="2"/>
      <c r="AP146" s="2"/>
      <c r="AQ146" s="2"/>
      <c r="AR146" s="2"/>
      <c r="AS146" s="2"/>
    </row>
    <row r="147" spans="1:45" x14ac:dyDescent="0.25">
      <c r="A147" s="2"/>
      <c r="B147" s="2"/>
      <c r="C147" s="2"/>
      <c r="D147" s="2"/>
      <c r="E147" s="2"/>
      <c r="F147" s="222"/>
      <c r="G147" s="2"/>
      <c r="H147" s="222"/>
      <c r="I147" s="222"/>
      <c r="J147" s="222"/>
      <c r="K147" s="222"/>
      <c r="L147" s="222"/>
      <c r="M147" s="222"/>
      <c r="N147" s="222"/>
      <c r="O147" s="222"/>
      <c r="P147" s="2"/>
      <c r="Q147" s="222"/>
      <c r="R147" s="2"/>
      <c r="S147" s="222"/>
      <c r="T147" s="2"/>
      <c r="U147" s="222"/>
      <c r="V147" s="2"/>
      <c r="W147" s="222"/>
      <c r="X147" s="2"/>
      <c r="Y147" s="222"/>
      <c r="Z147" s="2"/>
      <c r="AA147" s="222"/>
      <c r="AB147" s="2"/>
      <c r="AC147" s="222"/>
      <c r="AD147" s="2"/>
      <c r="AE147" s="222"/>
      <c r="AF147" s="2"/>
      <c r="AG147" s="222"/>
      <c r="AH147" s="2"/>
      <c r="AI147" s="2"/>
      <c r="AJ147" s="2"/>
      <c r="AK147" s="2"/>
      <c r="AL147" s="2"/>
      <c r="AM147" s="2"/>
      <c r="AN147" s="2"/>
      <c r="AO147" s="2"/>
      <c r="AP147" s="2"/>
      <c r="AQ147" s="2"/>
      <c r="AR147" s="2"/>
      <c r="AS147" s="2"/>
    </row>
    <row r="148" spans="1:45" x14ac:dyDescent="0.25">
      <c r="A148" s="2"/>
      <c r="B148" s="2"/>
      <c r="C148" s="2"/>
      <c r="D148" s="2"/>
      <c r="E148" s="2"/>
      <c r="F148" s="222"/>
      <c r="G148" s="2"/>
      <c r="H148" s="222"/>
      <c r="I148" s="222"/>
      <c r="J148" s="222"/>
      <c r="K148" s="222"/>
      <c r="L148" s="222"/>
      <c r="M148" s="222"/>
      <c r="N148" s="222"/>
      <c r="O148" s="222"/>
      <c r="P148" s="2"/>
      <c r="Q148" s="222"/>
      <c r="R148" s="2"/>
      <c r="S148" s="222"/>
      <c r="T148" s="2"/>
      <c r="U148" s="222"/>
      <c r="V148" s="2"/>
      <c r="W148" s="222"/>
      <c r="X148" s="2"/>
      <c r="Y148" s="222"/>
      <c r="Z148" s="2"/>
      <c r="AA148" s="222"/>
      <c r="AB148" s="2"/>
      <c r="AC148" s="222"/>
      <c r="AD148" s="2"/>
      <c r="AE148" s="222"/>
      <c r="AF148" s="2"/>
      <c r="AG148" s="222"/>
      <c r="AH148" s="2"/>
      <c r="AI148" s="2"/>
      <c r="AJ148" s="2"/>
      <c r="AK148" s="2"/>
      <c r="AL148" s="2"/>
      <c r="AM148" s="2"/>
      <c r="AN148" s="2"/>
      <c r="AO148" s="2"/>
      <c r="AP148" s="2"/>
      <c r="AQ148" s="2"/>
      <c r="AR148" s="2"/>
      <c r="AS148" s="2"/>
    </row>
    <row r="149" spans="1:45" x14ac:dyDescent="0.25">
      <c r="A149" s="2"/>
      <c r="B149" s="2"/>
      <c r="C149" s="2"/>
      <c r="D149" s="2"/>
      <c r="E149" s="2"/>
      <c r="F149" s="222"/>
      <c r="G149" s="2"/>
      <c r="H149" s="222"/>
      <c r="I149" s="222"/>
      <c r="J149" s="222"/>
      <c r="K149" s="222"/>
      <c r="L149" s="222"/>
      <c r="M149" s="222"/>
      <c r="N149" s="222"/>
      <c r="O149" s="222"/>
      <c r="P149" s="2"/>
      <c r="Q149" s="222"/>
      <c r="R149" s="2"/>
      <c r="S149" s="222"/>
      <c r="T149" s="2"/>
      <c r="U149" s="222"/>
      <c r="V149" s="2"/>
      <c r="W149" s="222"/>
      <c r="X149" s="2"/>
      <c r="Y149" s="222"/>
      <c r="Z149" s="2"/>
      <c r="AA149" s="222"/>
      <c r="AB149" s="2"/>
      <c r="AC149" s="222"/>
      <c r="AD149" s="2"/>
      <c r="AE149" s="222"/>
      <c r="AF149" s="2"/>
      <c r="AG149" s="222"/>
      <c r="AH149" s="2"/>
      <c r="AI149" s="2"/>
      <c r="AJ149" s="2"/>
      <c r="AK149" s="2"/>
      <c r="AL149" s="2"/>
      <c r="AM149" s="2"/>
      <c r="AN149" s="2"/>
      <c r="AO149" s="2"/>
      <c r="AP149" s="2"/>
      <c r="AQ149" s="2"/>
      <c r="AR149" s="2"/>
      <c r="AS149" s="2"/>
    </row>
    <row r="150" spans="1:45" x14ac:dyDescent="0.25">
      <c r="A150" s="2"/>
      <c r="B150" s="2"/>
      <c r="C150" s="2"/>
      <c r="D150" s="2"/>
      <c r="E150" s="2"/>
      <c r="F150" s="222"/>
      <c r="G150" s="2"/>
      <c r="H150" s="222"/>
      <c r="I150" s="222"/>
      <c r="J150" s="222"/>
      <c r="K150" s="222"/>
      <c r="L150" s="222"/>
      <c r="M150" s="222"/>
      <c r="N150" s="222"/>
      <c r="O150" s="222"/>
      <c r="P150" s="2"/>
      <c r="Q150" s="222"/>
      <c r="R150" s="2"/>
      <c r="S150" s="222"/>
      <c r="T150" s="2"/>
      <c r="U150" s="222"/>
      <c r="V150" s="2"/>
      <c r="W150" s="222"/>
      <c r="X150" s="2"/>
      <c r="Y150" s="222"/>
      <c r="Z150" s="2"/>
      <c r="AA150" s="222"/>
      <c r="AB150" s="2"/>
      <c r="AC150" s="222"/>
      <c r="AD150" s="2"/>
      <c r="AE150" s="222"/>
      <c r="AF150" s="2"/>
      <c r="AG150" s="222"/>
      <c r="AH150" s="2"/>
      <c r="AI150" s="2"/>
      <c r="AJ150" s="2"/>
      <c r="AK150" s="2"/>
      <c r="AL150" s="2"/>
      <c r="AM150" s="2"/>
      <c r="AN150" s="2"/>
      <c r="AO150" s="2"/>
      <c r="AP150" s="2"/>
      <c r="AQ150" s="2"/>
      <c r="AR150" s="2"/>
      <c r="AS150" s="2"/>
    </row>
    <row r="151" spans="1:45" x14ac:dyDescent="0.25">
      <c r="A151" s="2"/>
      <c r="B151" s="2"/>
      <c r="C151" s="2"/>
      <c r="D151" s="2"/>
      <c r="E151" s="2"/>
      <c r="F151" s="222"/>
      <c r="G151" s="2"/>
      <c r="H151" s="222"/>
      <c r="I151" s="222"/>
      <c r="J151" s="222"/>
      <c r="K151" s="222"/>
      <c r="L151" s="222"/>
      <c r="M151" s="222"/>
      <c r="N151" s="222"/>
      <c r="O151" s="222"/>
      <c r="P151" s="2"/>
      <c r="Q151" s="222"/>
      <c r="R151" s="2"/>
      <c r="S151" s="222"/>
      <c r="T151" s="2"/>
      <c r="U151" s="222"/>
      <c r="V151" s="2"/>
      <c r="W151" s="222"/>
      <c r="X151" s="2"/>
      <c r="Y151" s="222"/>
      <c r="Z151" s="2"/>
      <c r="AA151" s="222"/>
      <c r="AB151" s="2"/>
      <c r="AC151" s="222"/>
      <c r="AD151" s="2"/>
      <c r="AE151" s="222"/>
      <c r="AF151" s="2"/>
      <c r="AG151" s="222"/>
      <c r="AH151" s="2"/>
      <c r="AI151" s="2"/>
      <c r="AJ151" s="2"/>
      <c r="AK151" s="2"/>
      <c r="AL151" s="2"/>
      <c r="AM151" s="2"/>
      <c r="AN151" s="2"/>
      <c r="AO151" s="2"/>
      <c r="AP151" s="2"/>
      <c r="AQ151" s="2"/>
      <c r="AR151" s="2"/>
      <c r="AS151" s="2"/>
    </row>
    <row r="152" spans="1:45" x14ac:dyDescent="0.25">
      <c r="A152" s="2"/>
      <c r="B152" s="2"/>
      <c r="C152" s="2"/>
      <c r="D152" s="2"/>
      <c r="E152" s="2"/>
      <c r="F152" s="222"/>
      <c r="G152" s="2"/>
      <c r="H152" s="222"/>
      <c r="I152" s="222"/>
      <c r="J152" s="222"/>
      <c r="K152" s="222"/>
      <c r="L152" s="222"/>
      <c r="M152" s="222"/>
      <c r="N152" s="222"/>
      <c r="O152" s="222"/>
      <c r="P152" s="2"/>
      <c r="Q152" s="222"/>
      <c r="R152" s="2"/>
      <c r="S152" s="222"/>
      <c r="T152" s="2"/>
      <c r="U152" s="222"/>
      <c r="V152" s="2"/>
      <c r="W152" s="222"/>
      <c r="X152" s="2"/>
      <c r="Y152" s="222"/>
      <c r="Z152" s="2"/>
      <c r="AA152" s="222"/>
      <c r="AB152" s="2"/>
      <c r="AC152" s="222"/>
      <c r="AD152" s="2"/>
      <c r="AE152" s="222"/>
      <c r="AF152" s="2"/>
      <c r="AG152" s="222"/>
      <c r="AH152" s="2"/>
      <c r="AI152" s="2"/>
      <c r="AJ152" s="2"/>
      <c r="AK152" s="2"/>
      <c r="AL152" s="2"/>
      <c r="AM152" s="2"/>
      <c r="AN152" s="2"/>
      <c r="AO152" s="2"/>
      <c r="AP152" s="2"/>
      <c r="AQ152" s="2"/>
      <c r="AR152" s="2"/>
      <c r="AS152" s="2"/>
    </row>
    <row r="153" spans="1:45" x14ac:dyDescent="0.25">
      <c r="A153" s="2"/>
      <c r="B153" s="2"/>
      <c r="C153" s="2"/>
      <c r="D153" s="2"/>
      <c r="E153" s="2"/>
      <c r="F153" s="222"/>
      <c r="G153" s="2"/>
      <c r="H153" s="222"/>
      <c r="I153" s="222"/>
      <c r="J153" s="222"/>
      <c r="K153" s="222"/>
      <c r="L153" s="222"/>
      <c r="M153" s="222"/>
      <c r="N153" s="222"/>
      <c r="O153" s="222"/>
      <c r="P153" s="2"/>
      <c r="Q153" s="222"/>
      <c r="R153" s="2"/>
      <c r="S153" s="222"/>
      <c r="T153" s="2"/>
      <c r="U153" s="222"/>
      <c r="V153" s="2"/>
      <c r="W153" s="222"/>
      <c r="X153" s="2"/>
      <c r="Y153" s="222"/>
      <c r="Z153" s="2"/>
      <c r="AA153" s="222"/>
      <c r="AB153" s="2"/>
      <c r="AC153" s="222"/>
      <c r="AD153" s="2"/>
      <c r="AE153" s="222"/>
      <c r="AF153" s="2"/>
      <c r="AG153" s="222"/>
      <c r="AH153" s="2"/>
      <c r="AI153" s="2"/>
      <c r="AJ153" s="2"/>
      <c r="AK153" s="2"/>
      <c r="AL153" s="2"/>
      <c r="AM153" s="2"/>
      <c r="AN153" s="2"/>
      <c r="AO153" s="2"/>
      <c r="AP153" s="2"/>
      <c r="AQ153" s="2"/>
      <c r="AR153" s="2"/>
      <c r="AS153" s="2"/>
    </row>
    <row r="154" spans="1:45" x14ac:dyDescent="0.25">
      <c r="A154" s="2"/>
      <c r="B154" s="2"/>
      <c r="C154" s="2"/>
      <c r="D154" s="2"/>
      <c r="E154" s="2"/>
      <c r="F154" s="222"/>
      <c r="G154" s="2"/>
      <c r="H154" s="222"/>
      <c r="I154" s="222"/>
      <c r="J154" s="222"/>
      <c r="K154" s="222"/>
      <c r="L154" s="222"/>
      <c r="M154" s="222"/>
      <c r="N154" s="222"/>
      <c r="O154" s="222"/>
      <c r="P154" s="2"/>
      <c r="Q154" s="222"/>
      <c r="R154" s="2"/>
      <c r="S154" s="222"/>
      <c r="T154" s="2"/>
      <c r="U154" s="222"/>
      <c r="V154" s="2"/>
      <c r="W154" s="222"/>
      <c r="X154" s="2"/>
      <c r="Y154" s="222"/>
      <c r="Z154" s="2"/>
      <c r="AA154" s="222"/>
      <c r="AB154" s="2"/>
      <c r="AC154" s="222"/>
      <c r="AD154" s="2"/>
      <c r="AE154" s="222"/>
      <c r="AF154" s="2"/>
      <c r="AG154" s="222"/>
      <c r="AH154" s="2"/>
      <c r="AI154" s="2"/>
      <c r="AJ154" s="2"/>
      <c r="AK154" s="2"/>
      <c r="AL154" s="2"/>
      <c r="AM154" s="2"/>
      <c r="AN154" s="2"/>
      <c r="AO154" s="2"/>
      <c r="AP154" s="2"/>
      <c r="AQ154" s="2"/>
      <c r="AR154" s="2"/>
      <c r="AS154" s="2"/>
    </row>
    <row r="155" spans="1:45" x14ac:dyDescent="0.25">
      <c r="A155" s="2"/>
      <c r="B155" s="2"/>
      <c r="C155" s="2"/>
      <c r="D155" s="2"/>
      <c r="E155" s="2"/>
      <c r="F155" s="222"/>
      <c r="G155" s="2"/>
      <c r="H155" s="222"/>
      <c r="I155" s="222"/>
      <c r="J155" s="222"/>
      <c r="K155" s="222"/>
      <c r="L155" s="222"/>
      <c r="M155" s="222"/>
      <c r="N155" s="222"/>
      <c r="O155" s="222"/>
      <c r="P155" s="2"/>
      <c r="Q155" s="222"/>
      <c r="R155" s="2"/>
      <c r="S155" s="222"/>
      <c r="T155" s="2"/>
      <c r="U155" s="222"/>
      <c r="V155" s="2"/>
      <c r="W155" s="222"/>
      <c r="X155" s="2"/>
      <c r="Y155" s="222"/>
      <c r="Z155" s="2"/>
      <c r="AA155" s="222"/>
      <c r="AB155" s="2"/>
      <c r="AC155" s="222"/>
      <c r="AD155" s="2"/>
      <c r="AE155" s="222"/>
      <c r="AF155" s="2"/>
      <c r="AG155" s="222"/>
      <c r="AH155" s="2"/>
      <c r="AI155" s="2"/>
      <c r="AJ155" s="2"/>
      <c r="AK155" s="2"/>
      <c r="AL155" s="2"/>
      <c r="AM155" s="2"/>
      <c r="AN155" s="2"/>
      <c r="AO155" s="2"/>
      <c r="AP155" s="2"/>
      <c r="AQ155" s="2"/>
      <c r="AR155" s="2"/>
      <c r="AS155" s="2"/>
    </row>
    <row r="156" spans="1:45" x14ac:dyDescent="0.25">
      <c r="A156" s="2"/>
      <c r="B156" s="2"/>
      <c r="C156" s="2"/>
      <c r="D156" s="2"/>
      <c r="E156" s="2"/>
      <c r="F156" s="222"/>
      <c r="G156" s="2"/>
      <c r="H156" s="222"/>
      <c r="I156" s="222"/>
      <c r="J156" s="222"/>
      <c r="K156" s="222"/>
      <c r="L156" s="222"/>
      <c r="M156" s="222"/>
      <c r="N156" s="222"/>
      <c r="O156" s="222"/>
      <c r="P156" s="2"/>
      <c r="Q156" s="222"/>
      <c r="R156" s="2"/>
      <c r="S156" s="222"/>
      <c r="T156" s="2"/>
      <c r="U156" s="222"/>
      <c r="V156" s="2"/>
      <c r="W156" s="222"/>
      <c r="X156" s="2"/>
      <c r="Y156" s="222"/>
      <c r="Z156" s="2"/>
      <c r="AA156" s="222"/>
      <c r="AB156" s="2"/>
      <c r="AC156" s="222"/>
      <c r="AD156" s="2"/>
      <c r="AE156" s="222"/>
      <c r="AF156" s="2"/>
      <c r="AG156" s="222"/>
      <c r="AH156" s="2"/>
      <c r="AI156" s="2"/>
      <c r="AJ156" s="2"/>
      <c r="AK156" s="2"/>
      <c r="AL156" s="2"/>
      <c r="AM156" s="2"/>
      <c r="AN156" s="2"/>
      <c r="AO156" s="2"/>
      <c r="AP156" s="2"/>
      <c r="AQ156" s="2"/>
      <c r="AR156" s="2"/>
      <c r="AS156" s="2"/>
    </row>
    <row r="157" spans="1:45" x14ac:dyDescent="0.25">
      <c r="A157" s="2"/>
      <c r="B157" s="2"/>
      <c r="C157" s="2"/>
      <c r="D157" s="2"/>
      <c r="E157" s="2"/>
      <c r="F157" s="222"/>
      <c r="G157" s="2"/>
      <c r="H157" s="222"/>
      <c r="I157" s="222"/>
      <c r="J157" s="222"/>
      <c r="K157" s="222"/>
      <c r="L157" s="222"/>
      <c r="M157" s="222"/>
      <c r="N157" s="222"/>
      <c r="O157" s="222"/>
      <c r="P157" s="2"/>
      <c r="Q157" s="222"/>
      <c r="R157" s="2"/>
      <c r="S157" s="222"/>
      <c r="T157" s="2"/>
      <c r="U157" s="222"/>
      <c r="V157" s="2"/>
      <c r="W157" s="222"/>
      <c r="X157" s="2"/>
      <c r="Y157" s="222"/>
      <c r="Z157" s="2"/>
      <c r="AA157" s="222"/>
      <c r="AB157" s="2"/>
      <c r="AC157" s="222"/>
      <c r="AD157" s="2"/>
      <c r="AE157" s="222"/>
      <c r="AF157" s="2"/>
      <c r="AG157" s="222"/>
      <c r="AH157" s="2"/>
      <c r="AI157" s="2"/>
      <c r="AJ157" s="2"/>
      <c r="AK157" s="2"/>
      <c r="AL157" s="2"/>
      <c r="AM157" s="2"/>
      <c r="AN157" s="2"/>
      <c r="AO157" s="2"/>
      <c r="AP157" s="2"/>
      <c r="AQ157" s="2"/>
      <c r="AR157" s="2"/>
      <c r="AS157" s="2"/>
    </row>
    <row r="158" spans="1:45" x14ac:dyDescent="0.25">
      <c r="A158" s="2"/>
      <c r="B158" s="2"/>
      <c r="C158" s="2"/>
      <c r="D158" s="2"/>
      <c r="E158" s="2"/>
      <c r="F158" s="222"/>
      <c r="G158" s="2"/>
      <c r="H158" s="222"/>
      <c r="I158" s="222"/>
      <c r="J158" s="222"/>
      <c r="K158" s="222"/>
      <c r="L158" s="222"/>
      <c r="M158" s="222"/>
      <c r="N158" s="222"/>
      <c r="O158" s="222"/>
      <c r="P158" s="2"/>
      <c r="Q158" s="222"/>
      <c r="R158" s="2"/>
      <c r="S158" s="222"/>
      <c r="T158" s="2"/>
      <c r="U158" s="222"/>
      <c r="V158" s="2"/>
      <c r="W158" s="222"/>
      <c r="X158" s="2"/>
      <c r="Y158" s="222"/>
      <c r="Z158" s="2"/>
      <c r="AA158" s="222"/>
      <c r="AB158" s="2"/>
      <c r="AC158" s="222"/>
      <c r="AD158" s="2"/>
      <c r="AE158" s="222"/>
      <c r="AF158" s="2"/>
      <c r="AG158" s="222"/>
      <c r="AH158" s="2"/>
      <c r="AI158" s="2"/>
      <c r="AJ158" s="2"/>
      <c r="AK158" s="2"/>
      <c r="AL158" s="2"/>
      <c r="AM158" s="2"/>
      <c r="AN158" s="2"/>
      <c r="AO158" s="2"/>
      <c r="AP158" s="2"/>
      <c r="AQ158" s="2"/>
      <c r="AR158" s="2"/>
      <c r="AS158" s="2"/>
    </row>
    <row r="159" spans="1:45" x14ac:dyDescent="0.25">
      <c r="A159" s="2"/>
      <c r="B159" s="2"/>
      <c r="C159" s="2"/>
      <c r="D159" s="2"/>
      <c r="E159" s="2"/>
      <c r="F159" s="222"/>
      <c r="G159" s="2"/>
      <c r="H159" s="222"/>
      <c r="I159" s="222"/>
      <c r="J159" s="222"/>
      <c r="K159" s="222"/>
      <c r="L159" s="222"/>
      <c r="M159" s="222"/>
      <c r="N159" s="222"/>
      <c r="O159" s="222"/>
      <c r="P159" s="2"/>
      <c r="Q159" s="222"/>
      <c r="R159" s="2"/>
      <c r="S159" s="222"/>
      <c r="T159" s="2"/>
      <c r="U159" s="222"/>
      <c r="V159" s="2"/>
      <c r="W159" s="222"/>
      <c r="X159" s="2"/>
      <c r="Y159" s="222"/>
      <c r="Z159" s="2"/>
      <c r="AA159" s="222"/>
      <c r="AB159" s="2"/>
      <c r="AC159" s="222"/>
      <c r="AD159" s="2"/>
      <c r="AE159" s="222"/>
      <c r="AF159" s="2"/>
      <c r="AG159" s="222"/>
      <c r="AH159" s="2"/>
      <c r="AI159" s="2"/>
      <c r="AJ159" s="2"/>
      <c r="AK159" s="2"/>
      <c r="AL159" s="2"/>
      <c r="AM159" s="2"/>
      <c r="AN159" s="2"/>
      <c r="AO159" s="2"/>
      <c r="AP159" s="2"/>
      <c r="AQ159" s="2"/>
      <c r="AR159" s="2"/>
      <c r="AS159" s="2"/>
    </row>
    <row r="160" spans="1:45" x14ac:dyDescent="0.25">
      <c r="A160" s="2"/>
      <c r="B160" s="2"/>
      <c r="C160" s="2"/>
      <c r="D160" s="2"/>
      <c r="E160" s="2"/>
      <c r="F160" s="222"/>
      <c r="G160" s="2"/>
      <c r="H160" s="222"/>
      <c r="I160" s="222"/>
      <c r="J160" s="222"/>
      <c r="K160" s="222"/>
      <c r="L160" s="222"/>
      <c r="M160" s="222"/>
      <c r="N160" s="222"/>
      <c r="O160" s="222"/>
      <c r="P160" s="2"/>
      <c r="Q160" s="222"/>
      <c r="R160" s="2"/>
      <c r="S160" s="222"/>
      <c r="T160" s="2"/>
      <c r="U160" s="222"/>
      <c r="V160" s="2"/>
      <c r="W160" s="222"/>
      <c r="X160" s="2"/>
      <c r="Y160" s="222"/>
      <c r="Z160" s="2"/>
      <c r="AA160" s="222"/>
      <c r="AB160" s="2"/>
      <c r="AC160" s="222"/>
      <c r="AD160" s="2"/>
      <c r="AE160" s="222"/>
      <c r="AF160" s="2"/>
      <c r="AG160" s="222"/>
      <c r="AH160" s="2"/>
      <c r="AI160" s="2"/>
      <c r="AJ160" s="2"/>
      <c r="AK160" s="2"/>
      <c r="AL160" s="2"/>
      <c r="AM160" s="2"/>
      <c r="AN160" s="2"/>
      <c r="AO160" s="2"/>
      <c r="AP160" s="2"/>
      <c r="AQ160" s="2"/>
      <c r="AR160" s="2"/>
      <c r="AS160" s="2"/>
    </row>
    <row r="161" spans="1:45" x14ac:dyDescent="0.25">
      <c r="A161" s="2"/>
      <c r="B161" s="2"/>
      <c r="C161" s="2"/>
      <c r="D161" s="2"/>
      <c r="E161" s="2"/>
      <c r="F161" s="222"/>
      <c r="G161" s="2"/>
      <c r="H161" s="222"/>
      <c r="I161" s="222"/>
      <c r="J161" s="222"/>
      <c r="K161" s="222"/>
      <c r="L161" s="222"/>
      <c r="M161" s="222"/>
      <c r="N161" s="222"/>
      <c r="O161" s="222"/>
      <c r="P161" s="2"/>
      <c r="Q161" s="222"/>
      <c r="R161" s="2"/>
      <c r="S161" s="222"/>
      <c r="T161" s="2"/>
      <c r="U161" s="222"/>
      <c r="V161" s="2"/>
      <c r="W161" s="222"/>
      <c r="X161" s="2"/>
      <c r="Y161" s="222"/>
      <c r="Z161" s="2"/>
      <c r="AA161" s="222"/>
      <c r="AB161" s="2"/>
      <c r="AC161" s="222"/>
      <c r="AD161" s="2"/>
      <c r="AE161" s="222"/>
      <c r="AF161" s="2"/>
      <c r="AG161" s="222"/>
      <c r="AH161" s="2"/>
      <c r="AI161" s="2"/>
      <c r="AJ161" s="2"/>
      <c r="AK161" s="2"/>
      <c r="AL161" s="2"/>
      <c r="AM161" s="2"/>
      <c r="AN161" s="2"/>
      <c r="AO161" s="2"/>
      <c r="AP161" s="2"/>
      <c r="AQ161" s="2"/>
      <c r="AR161" s="2"/>
      <c r="AS161" s="2"/>
    </row>
    <row r="162" spans="1:45" x14ac:dyDescent="0.25">
      <c r="A162" s="2"/>
      <c r="B162" s="2"/>
      <c r="C162" s="2"/>
      <c r="D162" s="2"/>
      <c r="E162" s="2"/>
      <c r="F162" s="222"/>
      <c r="G162" s="2"/>
      <c r="H162" s="222"/>
      <c r="I162" s="222"/>
      <c r="J162" s="222"/>
      <c r="K162" s="222"/>
      <c r="L162" s="222"/>
      <c r="M162" s="222"/>
      <c r="N162" s="222"/>
      <c r="O162" s="222"/>
      <c r="P162" s="2"/>
      <c r="Q162" s="222"/>
      <c r="R162" s="2"/>
      <c r="S162" s="222"/>
      <c r="T162" s="2"/>
      <c r="U162" s="222"/>
      <c r="V162" s="2"/>
      <c r="W162" s="222"/>
      <c r="X162" s="2"/>
      <c r="Y162" s="222"/>
      <c r="Z162" s="2"/>
      <c r="AA162" s="222"/>
      <c r="AB162" s="2"/>
      <c r="AC162" s="222"/>
      <c r="AD162" s="2"/>
      <c r="AE162" s="222"/>
      <c r="AF162" s="2"/>
      <c r="AG162" s="222"/>
      <c r="AH162" s="2"/>
      <c r="AI162" s="2"/>
      <c r="AJ162" s="2"/>
      <c r="AK162" s="2"/>
      <c r="AL162" s="2"/>
      <c r="AM162" s="2"/>
      <c r="AN162" s="2"/>
      <c r="AO162" s="2"/>
      <c r="AP162" s="2"/>
      <c r="AQ162" s="2"/>
      <c r="AR162" s="2"/>
      <c r="AS162" s="2"/>
    </row>
    <row r="163" spans="1:45" x14ac:dyDescent="0.25">
      <c r="A163" s="2"/>
      <c r="B163" s="2"/>
      <c r="C163" s="2"/>
      <c r="D163" s="2"/>
      <c r="E163" s="2"/>
      <c r="F163" s="222"/>
      <c r="G163" s="2"/>
      <c r="H163" s="222"/>
      <c r="I163" s="222"/>
      <c r="J163" s="222"/>
      <c r="K163" s="222"/>
      <c r="L163" s="222"/>
      <c r="M163" s="222"/>
      <c r="N163" s="222"/>
      <c r="O163" s="222"/>
      <c r="P163" s="2"/>
      <c r="Q163" s="222"/>
      <c r="R163" s="2"/>
      <c r="S163" s="222"/>
      <c r="T163" s="2"/>
      <c r="U163" s="222"/>
      <c r="V163" s="2"/>
      <c r="W163" s="222"/>
      <c r="X163" s="2"/>
      <c r="Y163" s="222"/>
      <c r="Z163" s="2"/>
      <c r="AA163" s="222"/>
      <c r="AB163" s="2"/>
      <c r="AC163" s="222"/>
      <c r="AD163" s="2"/>
      <c r="AE163" s="222"/>
      <c r="AF163" s="2"/>
      <c r="AG163" s="222"/>
      <c r="AH163" s="2"/>
      <c r="AI163" s="2"/>
      <c r="AJ163" s="2"/>
      <c r="AK163" s="2"/>
      <c r="AL163" s="2"/>
      <c r="AM163" s="2"/>
      <c r="AN163" s="2"/>
      <c r="AO163" s="2"/>
      <c r="AP163" s="2"/>
      <c r="AQ163" s="2"/>
      <c r="AR163" s="2"/>
      <c r="AS163" s="2"/>
    </row>
    <row r="164" spans="1:45" x14ac:dyDescent="0.25">
      <c r="A164" s="2"/>
      <c r="B164" s="2"/>
      <c r="C164" s="2"/>
      <c r="D164" s="2"/>
      <c r="E164" s="2"/>
      <c r="F164" s="222"/>
      <c r="G164" s="2"/>
      <c r="H164" s="222"/>
      <c r="I164" s="222"/>
      <c r="J164" s="222"/>
      <c r="K164" s="222"/>
      <c r="L164" s="222"/>
      <c r="M164" s="222"/>
      <c r="N164" s="222"/>
      <c r="O164" s="222"/>
      <c r="P164" s="2"/>
      <c r="Q164" s="222"/>
      <c r="R164" s="2"/>
      <c r="S164" s="222"/>
      <c r="T164" s="2"/>
      <c r="U164" s="222"/>
      <c r="V164" s="2"/>
      <c r="W164" s="222"/>
      <c r="X164" s="2"/>
      <c r="Y164" s="222"/>
      <c r="Z164" s="2"/>
      <c r="AA164" s="222"/>
      <c r="AB164" s="2"/>
      <c r="AC164" s="222"/>
      <c r="AD164" s="2"/>
      <c r="AE164" s="222"/>
      <c r="AF164" s="2"/>
      <c r="AG164" s="222"/>
      <c r="AH164" s="2"/>
      <c r="AI164" s="2"/>
      <c r="AJ164" s="2"/>
      <c r="AK164" s="2"/>
      <c r="AL164" s="2"/>
      <c r="AM164" s="2"/>
      <c r="AN164" s="2"/>
      <c r="AO164" s="2"/>
      <c r="AP164" s="2"/>
      <c r="AQ164" s="2"/>
      <c r="AR164" s="2"/>
      <c r="AS164" s="2"/>
    </row>
    <row r="165" spans="1:45" x14ac:dyDescent="0.25">
      <c r="A165" s="2"/>
      <c r="B165" s="2"/>
      <c r="C165" s="2"/>
      <c r="D165" s="2"/>
      <c r="E165" s="2"/>
      <c r="F165" s="222"/>
      <c r="G165" s="2"/>
      <c r="H165" s="222"/>
      <c r="I165" s="222"/>
      <c r="J165" s="222"/>
      <c r="K165" s="222"/>
      <c r="L165" s="222"/>
      <c r="M165" s="222"/>
      <c r="N165" s="222"/>
      <c r="O165" s="222"/>
      <c r="P165" s="2"/>
      <c r="Q165" s="222"/>
      <c r="R165" s="2"/>
      <c r="S165" s="222"/>
      <c r="T165" s="2"/>
      <c r="U165" s="222"/>
      <c r="V165" s="2"/>
      <c r="W165" s="222"/>
      <c r="X165" s="2"/>
      <c r="Y165" s="222"/>
      <c r="Z165" s="2"/>
      <c r="AA165" s="222"/>
      <c r="AB165" s="2"/>
      <c r="AC165" s="222"/>
      <c r="AD165" s="2"/>
      <c r="AE165" s="222"/>
      <c r="AF165" s="2"/>
      <c r="AG165" s="222"/>
      <c r="AH165" s="2"/>
      <c r="AI165" s="2"/>
      <c r="AJ165" s="2"/>
      <c r="AK165" s="2"/>
      <c r="AL165" s="2"/>
      <c r="AM165" s="2"/>
      <c r="AN165" s="2"/>
      <c r="AO165" s="2"/>
      <c r="AP165" s="2"/>
      <c r="AQ165" s="2"/>
      <c r="AR165" s="2"/>
      <c r="AS165" s="2"/>
    </row>
    <row r="166" spans="1:45" x14ac:dyDescent="0.25">
      <c r="A166" s="2"/>
      <c r="B166" s="2"/>
      <c r="C166" s="2"/>
      <c r="D166" s="2"/>
      <c r="E166" s="2"/>
      <c r="F166" s="222"/>
      <c r="G166" s="2"/>
      <c r="H166" s="222"/>
      <c r="I166" s="222"/>
      <c r="J166" s="222"/>
      <c r="K166" s="222"/>
      <c r="L166" s="222"/>
      <c r="M166" s="222"/>
      <c r="N166" s="222"/>
      <c r="O166" s="222"/>
      <c r="P166" s="2"/>
      <c r="Q166" s="222"/>
      <c r="R166" s="2"/>
      <c r="S166" s="222"/>
      <c r="T166" s="2"/>
      <c r="U166" s="222"/>
      <c r="V166" s="2"/>
      <c r="W166" s="222"/>
      <c r="X166" s="2"/>
      <c r="Y166" s="222"/>
      <c r="Z166" s="2"/>
      <c r="AA166" s="222"/>
      <c r="AB166" s="2"/>
      <c r="AC166" s="222"/>
      <c r="AD166" s="2"/>
      <c r="AE166" s="222"/>
      <c r="AF166" s="2"/>
      <c r="AG166" s="222"/>
      <c r="AH166" s="2"/>
      <c r="AI166" s="2"/>
      <c r="AJ166" s="2"/>
      <c r="AK166" s="2"/>
      <c r="AL166" s="2"/>
      <c r="AM166" s="2"/>
      <c r="AN166" s="2"/>
      <c r="AO166" s="2"/>
      <c r="AP166" s="2"/>
      <c r="AQ166" s="2"/>
      <c r="AR166" s="2"/>
      <c r="AS166" s="2"/>
    </row>
    <row r="167" spans="1:45" x14ac:dyDescent="0.25">
      <c r="A167" s="2"/>
      <c r="B167" s="2"/>
      <c r="C167" s="2"/>
      <c r="D167" s="2"/>
      <c r="E167" s="2"/>
      <c r="F167" s="222"/>
      <c r="G167" s="2"/>
      <c r="H167" s="222"/>
      <c r="I167" s="222"/>
      <c r="J167" s="222"/>
      <c r="K167" s="222"/>
      <c r="L167" s="222"/>
      <c r="M167" s="222"/>
      <c r="N167" s="222"/>
      <c r="O167" s="222"/>
      <c r="P167" s="2"/>
      <c r="Q167" s="222"/>
      <c r="R167" s="2"/>
      <c r="S167" s="222"/>
      <c r="T167" s="2"/>
      <c r="U167" s="222"/>
      <c r="V167" s="2"/>
      <c r="W167" s="222"/>
      <c r="X167" s="2"/>
      <c r="Y167" s="222"/>
      <c r="Z167" s="2"/>
      <c r="AA167" s="222"/>
      <c r="AB167" s="2"/>
      <c r="AC167" s="222"/>
      <c r="AD167" s="2"/>
      <c r="AE167" s="222"/>
      <c r="AF167" s="2"/>
      <c r="AG167" s="222"/>
      <c r="AH167" s="2"/>
      <c r="AI167" s="2"/>
      <c r="AJ167" s="2"/>
      <c r="AK167" s="2"/>
      <c r="AL167" s="2"/>
      <c r="AM167" s="2"/>
      <c r="AN167" s="2"/>
      <c r="AO167" s="2"/>
      <c r="AP167" s="2"/>
      <c r="AQ167" s="2"/>
      <c r="AR167" s="2"/>
      <c r="AS167" s="2"/>
    </row>
    <row r="168" spans="1:45" x14ac:dyDescent="0.25">
      <c r="A168" s="2"/>
      <c r="B168" s="2"/>
      <c r="C168" s="2"/>
      <c r="D168" s="2"/>
      <c r="E168" s="2"/>
      <c r="F168" s="222"/>
      <c r="G168" s="2"/>
      <c r="H168" s="222"/>
      <c r="I168" s="222"/>
      <c r="J168" s="222"/>
      <c r="K168" s="222"/>
      <c r="L168" s="222"/>
      <c r="M168" s="222"/>
      <c r="N168" s="222"/>
      <c r="O168" s="222"/>
      <c r="P168" s="2"/>
      <c r="Q168" s="222"/>
      <c r="R168" s="2"/>
      <c r="S168" s="222"/>
      <c r="T168" s="2"/>
      <c r="U168" s="222"/>
      <c r="V168" s="2"/>
      <c r="W168" s="222"/>
      <c r="X168" s="2"/>
      <c r="Y168" s="222"/>
      <c r="Z168" s="2"/>
      <c r="AA168" s="222"/>
      <c r="AB168" s="2"/>
      <c r="AC168" s="222"/>
      <c r="AD168" s="2"/>
      <c r="AE168" s="222"/>
      <c r="AF168" s="2"/>
      <c r="AG168" s="222"/>
      <c r="AH168" s="2"/>
      <c r="AI168" s="2"/>
      <c r="AJ168" s="2"/>
      <c r="AK168" s="2"/>
      <c r="AL168" s="2"/>
      <c r="AM168" s="2"/>
      <c r="AN168" s="2"/>
      <c r="AO168" s="2"/>
      <c r="AP168" s="2"/>
      <c r="AQ168" s="2"/>
      <c r="AR168" s="2"/>
      <c r="AS168" s="2"/>
    </row>
    <row r="169" spans="1:45" x14ac:dyDescent="0.25">
      <c r="A169" s="2"/>
      <c r="B169" s="2"/>
      <c r="C169" s="2"/>
      <c r="D169" s="2"/>
      <c r="E169" s="2"/>
      <c r="F169" s="222"/>
      <c r="G169" s="2"/>
      <c r="H169" s="222"/>
      <c r="I169" s="222"/>
      <c r="J169" s="222"/>
      <c r="K169" s="222"/>
      <c r="L169" s="222"/>
      <c r="M169" s="222"/>
      <c r="N169" s="222"/>
      <c r="O169" s="222"/>
      <c r="P169" s="2"/>
      <c r="Q169" s="222"/>
      <c r="R169" s="2"/>
      <c r="S169" s="222"/>
      <c r="T169" s="2"/>
      <c r="U169" s="222"/>
      <c r="V169" s="2"/>
      <c r="W169" s="222"/>
      <c r="X169" s="2"/>
      <c r="Y169" s="222"/>
      <c r="Z169" s="2"/>
      <c r="AA169" s="222"/>
      <c r="AB169" s="2"/>
      <c r="AC169" s="222"/>
      <c r="AD169" s="2"/>
      <c r="AE169" s="222"/>
      <c r="AF169" s="2"/>
      <c r="AG169" s="222"/>
      <c r="AH169" s="2"/>
      <c r="AI169" s="2"/>
      <c r="AJ169" s="2"/>
      <c r="AK169" s="2"/>
      <c r="AL169" s="2"/>
      <c r="AM169" s="2"/>
      <c r="AN169" s="2"/>
      <c r="AO169" s="2"/>
      <c r="AP169" s="2"/>
      <c r="AQ169" s="2"/>
      <c r="AR169" s="2"/>
      <c r="AS169" s="2"/>
    </row>
    <row r="170" spans="1:45" x14ac:dyDescent="0.25">
      <c r="A170" s="2"/>
      <c r="B170" s="2"/>
      <c r="C170" s="2"/>
      <c r="D170" s="2"/>
      <c r="E170" s="2"/>
      <c r="F170" s="222"/>
      <c r="G170" s="2"/>
      <c r="H170" s="222"/>
      <c r="I170" s="222"/>
      <c r="J170" s="222"/>
      <c r="K170" s="222"/>
      <c r="L170" s="222"/>
      <c r="M170" s="222"/>
      <c r="N170" s="222"/>
      <c r="O170" s="222"/>
      <c r="P170" s="2"/>
      <c r="Q170" s="222"/>
      <c r="R170" s="2"/>
      <c r="S170" s="222"/>
      <c r="T170" s="2"/>
      <c r="U170" s="222"/>
      <c r="V170" s="2"/>
      <c r="W170" s="222"/>
      <c r="X170" s="2"/>
      <c r="Y170" s="222"/>
      <c r="Z170" s="2"/>
      <c r="AA170" s="222"/>
      <c r="AB170" s="2"/>
      <c r="AC170" s="222"/>
      <c r="AD170" s="2"/>
      <c r="AE170" s="222"/>
      <c r="AF170" s="2"/>
      <c r="AG170" s="222"/>
      <c r="AH170" s="2"/>
      <c r="AI170" s="2"/>
      <c r="AJ170" s="2"/>
      <c r="AK170" s="2"/>
      <c r="AL170" s="2"/>
      <c r="AM170" s="2"/>
      <c r="AN170" s="2"/>
      <c r="AO170" s="2"/>
      <c r="AP170" s="2"/>
      <c r="AQ170" s="2"/>
      <c r="AR170" s="2"/>
      <c r="AS170" s="2"/>
    </row>
    <row r="171" spans="1:45" x14ac:dyDescent="0.25">
      <c r="A171" s="2"/>
      <c r="B171" s="2"/>
      <c r="C171" s="2"/>
      <c r="D171" s="2"/>
      <c r="E171" s="2"/>
      <c r="F171" s="222"/>
      <c r="G171" s="2"/>
      <c r="H171" s="222"/>
      <c r="I171" s="222"/>
      <c r="J171" s="222"/>
      <c r="K171" s="222"/>
      <c r="L171" s="222"/>
      <c r="M171" s="222"/>
      <c r="N171" s="222"/>
      <c r="O171" s="222"/>
      <c r="P171" s="2"/>
      <c r="Q171" s="222"/>
      <c r="R171" s="2"/>
      <c r="S171" s="222"/>
      <c r="T171" s="2"/>
      <c r="U171" s="222"/>
      <c r="V171" s="2"/>
      <c r="W171" s="222"/>
      <c r="X171" s="2"/>
      <c r="Y171" s="222"/>
      <c r="Z171" s="2"/>
      <c r="AA171" s="222"/>
      <c r="AB171" s="2"/>
      <c r="AC171" s="222"/>
      <c r="AD171" s="2"/>
      <c r="AE171" s="222"/>
      <c r="AF171" s="2"/>
      <c r="AG171" s="222"/>
      <c r="AH171" s="2"/>
      <c r="AI171" s="2"/>
      <c r="AJ171" s="2"/>
      <c r="AK171" s="2"/>
      <c r="AL171" s="2"/>
      <c r="AM171" s="2"/>
      <c r="AN171" s="2"/>
      <c r="AO171" s="2"/>
      <c r="AP171" s="2"/>
      <c r="AQ171" s="2"/>
      <c r="AR171" s="2"/>
      <c r="AS171" s="2"/>
    </row>
    <row r="172" spans="1:45" x14ac:dyDescent="0.25">
      <c r="A172" s="2"/>
      <c r="B172" s="2"/>
      <c r="C172" s="2"/>
      <c r="D172" s="2"/>
      <c r="E172" s="2"/>
      <c r="F172" s="222"/>
      <c r="G172" s="2"/>
      <c r="H172" s="222"/>
      <c r="I172" s="222"/>
      <c r="J172" s="222"/>
      <c r="K172" s="222"/>
      <c r="L172" s="222"/>
      <c r="M172" s="222"/>
      <c r="N172" s="222"/>
      <c r="O172" s="222"/>
      <c r="P172" s="2"/>
      <c r="Q172" s="222"/>
      <c r="R172" s="2"/>
      <c r="S172" s="222"/>
      <c r="T172" s="2"/>
      <c r="U172" s="222"/>
      <c r="V172" s="2"/>
      <c r="W172" s="222"/>
      <c r="X172" s="2"/>
      <c r="Y172" s="222"/>
      <c r="Z172" s="2"/>
      <c r="AA172" s="222"/>
      <c r="AB172" s="2"/>
      <c r="AC172" s="222"/>
      <c r="AD172" s="2"/>
      <c r="AE172" s="222"/>
      <c r="AF172" s="2"/>
      <c r="AG172" s="222"/>
      <c r="AH172" s="2"/>
      <c r="AI172" s="2"/>
      <c r="AJ172" s="2"/>
      <c r="AK172" s="2"/>
      <c r="AL172" s="2"/>
      <c r="AM172" s="2"/>
      <c r="AN172" s="2"/>
      <c r="AO172" s="2"/>
      <c r="AP172" s="2"/>
      <c r="AQ172" s="2"/>
      <c r="AR172" s="2"/>
      <c r="AS172" s="2"/>
    </row>
    <row r="173" spans="1:45" x14ac:dyDescent="0.25">
      <c r="A173" s="2"/>
      <c r="B173" s="2"/>
      <c r="C173" s="2"/>
      <c r="D173" s="2"/>
      <c r="E173" s="2"/>
      <c r="F173" s="222"/>
      <c r="G173" s="2"/>
      <c r="H173" s="222"/>
      <c r="I173" s="222"/>
      <c r="J173" s="222"/>
      <c r="K173" s="222"/>
      <c r="L173" s="222"/>
      <c r="M173" s="222"/>
      <c r="N173" s="222"/>
      <c r="O173" s="222"/>
      <c r="P173" s="2"/>
      <c r="Q173" s="222"/>
      <c r="R173" s="2"/>
      <c r="S173" s="222"/>
      <c r="T173" s="2"/>
      <c r="U173" s="222"/>
      <c r="V173" s="2"/>
      <c r="W173" s="222"/>
      <c r="X173" s="2"/>
      <c r="Y173" s="222"/>
      <c r="Z173" s="2"/>
      <c r="AA173" s="222"/>
      <c r="AB173" s="2"/>
      <c r="AC173" s="222"/>
      <c r="AD173" s="2"/>
      <c r="AE173" s="222"/>
      <c r="AF173" s="2"/>
      <c r="AG173" s="222"/>
      <c r="AH173" s="2"/>
      <c r="AI173" s="2"/>
      <c r="AJ173" s="2"/>
      <c r="AK173" s="2"/>
      <c r="AL173" s="2"/>
      <c r="AM173" s="2"/>
      <c r="AN173" s="2"/>
      <c r="AO173" s="2"/>
      <c r="AP173" s="2"/>
      <c r="AQ173" s="2"/>
      <c r="AR173" s="2"/>
      <c r="AS173" s="2"/>
    </row>
    <row r="174" spans="1:45" x14ac:dyDescent="0.25">
      <c r="A174" s="2"/>
      <c r="B174" s="2"/>
      <c r="C174" s="2"/>
      <c r="D174" s="2"/>
      <c r="E174" s="2"/>
      <c r="F174" s="222"/>
      <c r="G174" s="2"/>
      <c r="H174" s="222"/>
      <c r="I174" s="222"/>
      <c r="J174" s="222"/>
      <c r="K174" s="222"/>
      <c r="L174" s="222"/>
      <c r="M174" s="222"/>
      <c r="N174" s="222"/>
      <c r="O174" s="222"/>
      <c r="P174" s="2"/>
      <c r="Q174" s="222"/>
      <c r="R174" s="2"/>
      <c r="S174" s="222"/>
      <c r="T174" s="2"/>
      <c r="U174" s="222"/>
      <c r="V174" s="2"/>
      <c r="W174" s="222"/>
      <c r="X174" s="2"/>
      <c r="Y174" s="222"/>
      <c r="Z174" s="2"/>
      <c r="AA174" s="222"/>
      <c r="AB174" s="2"/>
      <c r="AC174" s="222"/>
      <c r="AD174" s="2"/>
      <c r="AE174" s="222"/>
      <c r="AF174" s="2"/>
      <c r="AG174" s="222"/>
      <c r="AH174" s="2"/>
      <c r="AI174" s="2"/>
      <c r="AJ174" s="2"/>
      <c r="AK174" s="2"/>
      <c r="AL174" s="2"/>
      <c r="AM174" s="2"/>
      <c r="AN174" s="2"/>
      <c r="AO174" s="2"/>
      <c r="AP174" s="2"/>
      <c r="AQ174" s="2"/>
      <c r="AR174" s="2"/>
      <c r="AS174" s="2"/>
    </row>
    <row r="175" spans="1:45" x14ac:dyDescent="0.25">
      <c r="A175" s="2"/>
      <c r="B175" s="2"/>
      <c r="C175" s="2"/>
      <c r="D175" s="2"/>
      <c r="E175" s="2"/>
      <c r="F175" s="222"/>
      <c r="G175" s="2"/>
      <c r="H175" s="222"/>
      <c r="I175" s="222"/>
      <c r="J175" s="222"/>
      <c r="K175" s="222"/>
      <c r="L175" s="222"/>
      <c r="M175" s="222"/>
      <c r="N175" s="222"/>
      <c r="O175" s="222"/>
      <c r="P175" s="2"/>
      <c r="Q175" s="222"/>
      <c r="R175" s="2"/>
      <c r="S175" s="222"/>
      <c r="T175" s="2"/>
      <c r="U175" s="222"/>
      <c r="V175" s="2"/>
      <c r="W175" s="222"/>
      <c r="X175" s="2"/>
      <c r="Y175" s="222"/>
      <c r="Z175" s="2"/>
      <c r="AA175" s="222"/>
      <c r="AB175" s="2"/>
      <c r="AC175" s="222"/>
      <c r="AD175" s="2"/>
      <c r="AE175" s="222"/>
      <c r="AF175" s="2"/>
      <c r="AG175" s="222"/>
      <c r="AH175" s="2"/>
      <c r="AI175" s="2"/>
      <c r="AJ175" s="2"/>
      <c r="AK175" s="2"/>
      <c r="AL175" s="2"/>
      <c r="AM175" s="2"/>
      <c r="AN175" s="2"/>
      <c r="AO175" s="2"/>
      <c r="AP175" s="2"/>
      <c r="AQ175" s="2"/>
      <c r="AR175" s="2"/>
      <c r="AS175" s="2"/>
    </row>
    <row r="176" spans="1:45" x14ac:dyDescent="0.25">
      <c r="A176" s="2"/>
      <c r="B176" s="2"/>
      <c r="C176" s="2"/>
      <c r="D176" s="2"/>
      <c r="E176" s="2"/>
      <c r="F176" s="222"/>
      <c r="G176" s="2"/>
      <c r="H176" s="222"/>
      <c r="I176" s="222"/>
      <c r="J176" s="222"/>
      <c r="K176" s="222"/>
      <c r="L176" s="222"/>
      <c r="M176" s="222"/>
      <c r="N176" s="222"/>
      <c r="O176" s="222"/>
      <c r="P176" s="2"/>
      <c r="Q176" s="222"/>
      <c r="R176" s="2"/>
      <c r="S176" s="222"/>
      <c r="T176" s="2"/>
      <c r="U176" s="222"/>
      <c r="V176" s="2"/>
      <c r="W176" s="222"/>
      <c r="X176" s="2"/>
      <c r="Y176" s="222"/>
      <c r="Z176" s="2"/>
      <c r="AA176" s="222"/>
      <c r="AB176" s="2"/>
      <c r="AC176" s="222"/>
      <c r="AD176" s="2"/>
      <c r="AE176" s="222"/>
      <c r="AF176" s="2"/>
      <c r="AG176" s="222"/>
      <c r="AH176" s="2"/>
      <c r="AI176" s="2"/>
      <c r="AJ176" s="2"/>
      <c r="AK176" s="2"/>
      <c r="AL176" s="2"/>
      <c r="AM176" s="2"/>
      <c r="AN176" s="2"/>
      <c r="AO176" s="2"/>
      <c r="AP176" s="2"/>
      <c r="AQ176" s="2"/>
      <c r="AR176" s="2"/>
      <c r="AS176" s="2"/>
    </row>
    <row r="177" spans="1:45" x14ac:dyDescent="0.25">
      <c r="A177" s="2"/>
      <c r="B177" s="2"/>
      <c r="C177" s="2"/>
      <c r="D177" s="2"/>
      <c r="E177" s="2"/>
      <c r="F177" s="222"/>
      <c r="G177" s="2"/>
      <c r="H177" s="222"/>
      <c r="I177" s="222"/>
      <c r="J177" s="222"/>
      <c r="K177" s="222"/>
      <c r="L177" s="222"/>
      <c r="M177" s="222"/>
      <c r="N177" s="222"/>
      <c r="O177" s="222"/>
      <c r="P177" s="2"/>
      <c r="Q177" s="222"/>
      <c r="R177" s="2"/>
      <c r="S177" s="222"/>
      <c r="T177" s="2"/>
      <c r="U177" s="222"/>
      <c r="V177" s="2"/>
      <c r="W177" s="222"/>
      <c r="X177" s="2"/>
      <c r="Y177" s="222"/>
      <c r="Z177" s="2"/>
      <c r="AA177" s="222"/>
      <c r="AB177" s="2"/>
      <c r="AC177" s="222"/>
      <c r="AD177" s="2"/>
      <c r="AE177" s="222"/>
      <c r="AF177" s="2"/>
      <c r="AG177" s="222"/>
      <c r="AH177" s="2"/>
      <c r="AI177" s="2"/>
      <c r="AJ177" s="2"/>
      <c r="AK177" s="2"/>
      <c r="AL177" s="2"/>
      <c r="AM177" s="2"/>
      <c r="AN177" s="2"/>
      <c r="AO177" s="2"/>
      <c r="AP177" s="2"/>
      <c r="AQ177" s="2"/>
      <c r="AR177" s="2"/>
      <c r="AS177" s="2"/>
    </row>
    <row r="178" spans="1:45" x14ac:dyDescent="0.25">
      <c r="A178" s="2"/>
      <c r="B178" s="2"/>
      <c r="C178" s="2"/>
      <c r="D178" s="2"/>
      <c r="E178" s="2"/>
      <c r="F178" s="222"/>
      <c r="G178" s="2"/>
      <c r="H178" s="222"/>
      <c r="I178" s="222"/>
      <c r="J178" s="222"/>
      <c r="K178" s="222"/>
      <c r="L178" s="222"/>
      <c r="M178" s="222"/>
      <c r="N178" s="222"/>
      <c r="O178" s="222"/>
      <c r="P178" s="2"/>
      <c r="Q178" s="222"/>
      <c r="R178" s="2"/>
      <c r="S178" s="222"/>
      <c r="T178" s="2"/>
      <c r="U178" s="222"/>
      <c r="V178" s="2"/>
      <c r="W178" s="222"/>
      <c r="X178" s="2"/>
      <c r="Y178" s="222"/>
      <c r="Z178" s="2"/>
      <c r="AA178" s="222"/>
      <c r="AB178" s="2"/>
      <c r="AC178" s="222"/>
      <c r="AD178" s="2"/>
      <c r="AE178" s="222"/>
      <c r="AF178" s="2"/>
      <c r="AG178" s="222"/>
      <c r="AH178" s="2"/>
      <c r="AI178" s="2"/>
      <c r="AJ178" s="2"/>
      <c r="AK178" s="2"/>
      <c r="AL178" s="2"/>
      <c r="AM178" s="2"/>
      <c r="AN178" s="2"/>
      <c r="AO178" s="2"/>
      <c r="AP178" s="2"/>
      <c r="AQ178" s="2"/>
      <c r="AR178" s="2"/>
      <c r="AS178" s="2"/>
    </row>
    <row r="179" spans="1:45" x14ac:dyDescent="0.25">
      <c r="A179" s="2"/>
      <c r="B179" s="2"/>
      <c r="C179" s="2"/>
      <c r="D179" s="2"/>
      <c r="E179" s="2"/>
      <c r="F179" s="222"/>
      <c r="G179" s="2"/>
      <c r="H179" s="222"/>
      <c r="I179" s="222"/>
      <c r="J179" s="222"/>
      <c r="K179" s="222"/>
      <c r="L179" s="222"/>
      <c r="M179" s="222"/>
      <c r="N179" s="222"/>
      <c r="O179" s="222"/>
      <c r="P179" s="2"/>
      <c r="Q179" s="222"/>
      <c r="R179" s="2"/>
      <c r="S179" s="222"/>
      <c r="T179" s="2"/>
      <c r="U179" s="222"/>
      <c r="V179" s="2"/>
      <c r="W179" s="222"/>
      <c r="X179" s="2"/>
      <c r="Y179" s="222"/>
      <c r="Z179" s="2"/>
      <c r="AA179" s="222"/>
      <c r="AB179" s="2"/>
      <c r="AC179" s="222"/>
      <c r="AD179" s="2"/>
      <c r="AE179" s="222"/>
      <c r="AF179" s="2"/>
      <c r="AG179" s="222"/>
      <c r="AH179" s="2"/>
      <c r="AI179" s="2"/>
      <c r="AJ179" s="2"/>
      <c r="AK179" s="2"/>
      <c r="AL179" s="2"/>
      <c r="AM179" s="2"/>
      <c r="AN179" s="2"/>
      <c r="AO179" s="2"/>
      <c r="AP179" s="2"/>
      <c r="AQ179" s="2"/>
      <c r="AR179" s="2"/>
      <c r="AS179" s="2"/>
    </row>
    <row r="180" spans="1:45" x14ac:dyDescent="0.25">
      <c r="A180" s="2"/>
      <c r="B180" s="2"/>
      <c r="C180" s="2"/>
      <c r="D180" s="2"/>
      <c r="E180" s="2"/>
      <c r="F180" s="222"/>
      <c r="G180" s="2"/>
      <c r="H180" s="222"/>
      <c r="I180" s="222"/>
      <c r="J180" s="222"/>
      <c r="K180" s="222"/>
      <c r="L180" s="222"/>
      <c r="M180" s="222"/>
      <c r="N180" s="222"/>
      <c r="O180" s="222"/>
      <c r="P180" s="2"/>
      <c r="Q180" s="222"/>
      <c r="R180" s="2"/>
      <c r="S180" s="222"/>
      <c r="T180" s="2"/>
      <c r="U180" s="222"/>
      <c r="V180" s="2"/>
      <c r="W180" s="222"/>
      <c r="X180" s="2"/>
      <c r="Y180" s="222"/>
      <c r="Z180" s="2"/>
      <c r="AA180" s="222"/>
      <c r="AB180" s="2"/>
      <c r="AC180" s="222"/>
      <c r="AD180" s="2"/>
      <c r="AE180" s="222"/>
      <c r="AF180" s="2"/>
      <c r="AG180" s="222"/>
      <c r="AH180" s="2"/>
      <c r="AI180" s="2"/>
      <c r="AJ180" s="2"/>
      <c r="AK180" s="2"/>
      <c r="AL180" s="2"/>
      <c r="AM180" s="2"/>
      <c r="AN180" s="2"/>
      <c r="AO180" s="2"/>
      <c r="AP180" s="2"/>
      <c r="AQ180" s="2"/>
      <c r="AR180" s="2"/>
      <c r="AS180" s="2"/>
    </row>
    <row r="181" spans="1:45" x14ac:dyDescent="0.25">
      <c r="A181" s="2"/>
      <c r="B181" s="2"/>
      <c r="C181" s="2"/>
      <c r="D181" s="2"/>
      <c r="E181" s="2"/>
      <c r="F181" s="222"/>
      <c r="G181" s="2"/>
      <c r="H181" s="222"/>
      <c r="I181" s="222"/>
      <c r="J181" s="222"/>
      <c r="K181" s="222"/>
      <c r="L181" s="222"/>
      <c r="M181" s="222"/>
      <c r="N181" s="222"/>
      <c r="O181" s="222"/>
      <c r="P181" s="2"/>
      <c r="Q181" s="222"/>
      <c r="R181" s="2"/>
      <c r="S181" s="222"/>
      <c r="T181" s="2"/>
      <c r="U181" s="222"/>
      <c r="V181" s="2"/>
      <c r="W181" s="222"/>
      <c r="X181" s="2"/>
      <c r="Y181" s="222"/>
      <c r="Z181" s="2"/>
      <c r="AA181" s="222"/>
      <c r="AB181" s="2"/>
      <c r="AC181" s="222"/>
      <c r="AD181" s="2"/>
      <c r="AE181" s="222"/>
      <c r="AF181" s="2"/>
      <c r="AG181" s="222"/>
      <c r="AH181" s="2"/>
      <c r="AI181" s="2"/>
      <c r="AJ181" s="2"/>
      <c r="AK181" s="2"/>
      <c r="AL181" s="2"/>
      <c r="AM181" s="2"/>
      <c r="AN181" s="2"/>
      <c r="AO181" s="2"/>
      <c r="AP181" s="2"/>
      <c r="AQ181" s="2"/>
      <c r="AR181" s="2"/>
      <c r="AS181" s="2"/>
    </row>
    <row r="182" spans="1:45" x14ac:dyDescent="0.25">
      <c r="A182" s="2"/>
      <c r="B182" s="2"/>
      <c r="C182" s="2"/>
      <c r="D182" s="2"/>
      <c r="E182" s="2"/>
      <c r="F182" s="222"/>
      <c r="G182" s="2"/>
      <c r="H182" s="222"/>
      <c r="I182" s="222"/>
      <c r="J182" s="222"/>
      <c r="K182" s="222"/>
      <c r="L182" s="222"/>
      <c r="M182" s="222"/>
      <c r="N182" s="222"/>
      <c r="O182" s="222"/>
      <c r="P182" s="2"/>
      <c r="Q182" s="222"/>
      <c r="R182" s="2"/>
      <c r="S182" s="222"/>
      <c r="T182" s="2"/>
      <c r="U182" s="222"/>
      <c r="V182" s="2"/>
      <c r="W182" s="222"/>
      <c r="X182" s="2"/>
      <c r="Y182" s="222"/>
      <c r="Z182" s="2"/>
      <c r="AA182" s="222"/>
      <c r="AB182" s="2"/>
      <c r="AC182" s="222"/>
      <c r="AD182" s="2"/>
      <c r="AE182" s="222"/>
      <c r="AF182" s="2"/>
      <c r="AG182" s="222"/>
      <c r="AH182" s="2"/>
      <c r="AI182" s="2"/>
      <c r="AJ182" s="2"/>
      <c r="AK182" s="2"/>
      <c r="AL182" s="2"/>
      <c r="AM182" s="2"/>
      <c r="AN182" s="2"/>
      <c r="AO182" s="2"/>
      <c r="AP182" s="2"/>
      <c r="AQ182" s="2"/>
      <c r="AR182" s="2"/>
      <c r="AS182" s="2"/>
    </row>
    <row r="183" spans="1:45" x14ac:dyDescent="0.25">
      <c r="A183" s="2"/>
      <c r="B183" s="2"/>
      <c r="C183" s="2"/>
      <c r="D183" s="2"/>
      <c r="E183" s="2"/>
      <c r="F183" s="222"/>
      <c r="G183" s="2"/>
      <c r="H183" s="222"/>
      <c r="I183" s="222"/>
      <c r="J183" s="222"/>
      <c r="K183" s="222"/>
      <c r="L183" s="222"/>
      <c r="M183" s="222"/>
      <c r="N183" s="222"/>
      <c r="O183" s="222"/>
      <c r="P183" s="2"/>
      <c r="Q183" s="222"/>
      <c r="R183" s="2"/>
      <c r="S183" s="222"/>
      <c r="T183" s="2"/>
      <c r="U183" s="222"/>
      <c r="V183" s="2"/>
      <c r="W183" s="222"/>
      <c r="X183" s="2"/>
      <c r="Y183" s="222"/>
      <c r="Z183" s="2"/>
      <c r="AA183" s="222"/>
      <c r="AB183" s="2"/>
      <c r="AC183" s="222"/>
      <c r="AD183" s="2"/>
      <c r="AE183" s="222"/>
      <c r="AF183" s="2"/>
      <c r="AG183" s="222"/>
      <c r="AH183" s="2"/>
      <c r="AI183" s="2"/>
      <c r="AJ183" s="2"/>
      <c r="AK183" s="2"/>
      <c r="AL183" s="2"/>
      <c r="AM183" s="2"/>
      <c r="AN183" s="2"/>
      <c r="AO183" s="2"/>
      <c r="AP183" s="2"/>
      <c r="AQ183" s="2"/>
      <c r="AR183" s="2"/>
      <c r="AS183" s="2"/>
    </row>
    <row r="184" spans="1:45" x14ac:dyDescent="0.25">
      <c r="A184" s="2"/>
      <c r="B184" s="2"/>
      <c r="C184" s="2"/>
      <c r="D184" s="2"/>
      <c r="E184" s="2"/>
      <c r="F184" s="222"/>
      <c r="G184" s="2"/>
      <c r="H184" s="222"/>
      <c r="I184" s="222"/>
      <c r="J184" s="222"/>
      <c r="K184" s="222"/>
      <c r="L184" s="222"/>
      <c r="M184" s="222"/>
      <c r="N184" s="222"/>
      <c r="O184" s="222"/>
      <c r="P184" s="2"/>
      <c r="Q184" s="222"/>
      <c r="R184" s="2"/>
      <c r="S184" s="222"/>
      <c r="T184" s="2"/>
      <c r="U184" s="222"/>
      <c r="V184" s="2"/>
      <c r="W184" s="222"/>
      <c r="X184" s="2"/>
      <c r="Y184" s="222"/>
      <c r="Z184" s="2"/>
      <c r="AA184" s="222"/>
      <c r="AB184" s="2"/>
      <c r="AC184" s="222"/>
      <c r="AD184" s="2"/>
      <c r="AE184" s="222"/>
      <c r="AF184" s="2"/>
      <c r="AG184" s="222"/>
      <c r="AH184" s="2"/>
      <c r="AI184" s="2"/>
      <c r="AJ184" s="2"/>
      <c r="AK184" s="2"/>
      <c r="AL184" s="2"/>
      <c r="AM184" s="2"/>
      <c r="AN184" s="2"/>
      <c r="AO184" s="2"/>
      <c r="AP184" s="2"/>
      <c r="AQ184" s="2"/>
      <c r="AR184" s="2"/>
      <c r="AS184" s="2"/>
    </row>
    <row r="185" spans="1:45" x14ac:dyDescent="0.25">
      <c r="A185" s="2"/>
      <c r="B185" s="2"/>
      <c r="C185" s="2"/>
      <c r="D185" s="2"/>
      <c r="E185" s="2"/>
      <c r="F185" s="222"/>
      <c r="G185" s="2"/>
      <c r="H185" s="222"/>
      <c r="I185" s="222"/>
      <c r="J185" s="222"/>
      <c r="K185" s="222"/>
      <c r="L185" s="222"/>
      <c r="M185" s="222"/>
      <c r="N185" s="222"/>
      <c r="O185" s="222"/>
      <c r="P185" s="2"/>
      <c r="Q185" s="222"/>
      <c r="R185" s="2"/>
      <c r="S185" s="222"/>
      <c r="T185" s="2"/>
      <c r="U185" s="222"/>
      <c r="V185" s="2"/>
      <c r="W185" s="222"/>
      <c r="X185" s="2"/>
      <c r="Y185" s="222"/>
      <c r="Z185" s="2"/>
      <c r="AA185" s="222"/>
      <c r="AB185" s="2"/>
      <c r="AC185" s="222"/>
      <c r="AD185" s="2"/>
      <c r="AE185" s="222"/>
      <c r="AF185" s="2"/>
      <c r="AG185" s="222"/>
      <c r="AH185" s="2"/>
      <c r="AI185" s="2"/>
      <c r="AJ185" s="2"/>
      <c r="AK185" s="2"/>
      <c r="AL185" s="2"/>
      <c r="AM185" s="2"/>
      <c r="AN185" s="2"/>
      <c r="AO185" s="2"/>
      <c r="AP185" s="2"/>
      <c r="AQ185" s="2"/>
      <c r="AR185" s="2"/>
      <c r="AS185" s="2"/>
    </row>
    <row r="186" spans="1:45" x14ac:dyDescent="0.25">
      <c r="A186" s="2"/>
      <c r="B186" s="2"/>
      <c r="C186" s="2"/>
      <c r="D186" s="2"/>
      <c r="E186" s="2"/>
      <c r="F186" s="222"/>
      <c r="G186" s="2"/>
      <c r="H186" s="222"/>
      <c r="I186" s="222"/>
      <c r="J186" s="222"/>
      <c r="K186" s="222"/>
      <c r="L186" s="222"/>
      <c r="M186" s="222"/>
      <c r="N186" s="222"/>
      <c r="O186" s="222"/>
      <c r="P186" s="2"/>
      <c r="Q186" s="222"/>
      <c r="R186" s="2"/>
      <c r="S186" s="222"/>
      <c r="T186" s="2"/>
      <c r="U186" s="222"/>
      <c r="V186" s="2"/>
      <c r="W186" s="222"/>
      <c r="X186" s="2"/>
      <c r="Y186" s="222"/>
      <c r="Z186" s="2"/>
      <c r="AA186" s="222"/>
      <c r="AB186" s="2"/>
      <c r="AC186" s="222"/>
      <c r="AD186" s="2"/>
      <c r="AE186" s="222"/>
      <c r="AF186" s="2"/>
      <c r="AG186" s="222"/>
      <c r="AH186" s="2"/>
      <c r="AI186" s="2"/>
      <c r="AJ186" s="2"/>
      <c r="AK186" s="2"/>
      <c r="AL186" s="2"/>
      <c r="AM186" s="2"/>
      <c r="AN186" s="2"/>
      <c r="AO186" s="2"/>
      <c r="AP186" s="2"/>
      <c r="AQ186" s="2"/>
      <c r="AR186" s="2"/>
      <c r="AS186" s="2"/>
    </row>
    <row r="187" spans="1:45" x14ac:dyDescent="0.25">
      <c r="A187" s="2"/>
      <c r="B187" s="2"/>
      <c r="C187" s="2"/>
      <c r="D187" s="2"/>
      <c r="E187" s="2"/>
      <c r="F187" s="222"/>
      <c r="G187" s="2"/>
      <c r="H187" s="222"/>
      <c r="I187" s="222"/>
      <c r="J187" s="222"/>
      <c r="K187" s="222"/>
      <c r="L187" s="222"/>
      <c r="M187" s="222"/>
      <c r="N187" s="222"/>
      <c r="O187" s="222"/>
      <c r="P187" s="2"/>
      <c r="Q187" s="222"/>
      <c r="R187" s="2"/>
      <c r="S187" s="222"/>
      <c r="T187" s="2"/>
      <c r="U187" s="222"/>
      <c r="V187" s="2"/>
      <c r="W187" s="222"/>
      <c r="X187" s="2"/>
      <c r="Y187" s="222"/>
      <c r="Z187" s="2"/>
      <c r="AA187" s="222"/>
      <c r="AB187" s="2"/>
      <c r="AC187" s="222"/>
      <c r="AD187" s="2"/>
      <c r="AE187" s="222"/>
      <c r="AF187" s="2"/>
      <c r="AG187" s="222"/>
      <c r="AH187" s="2"/>
      <c r="AI187" s="2"/>
      <c r="AJ187" s="2"/>
      <c r="AK187" s="2"/>
      <c r="AL187" s="2"/>
      <c r="AM187" s="2"/>
      <c r="AN187" s="2"/>
      <c r="AO187" s="2"/>
      <c r="AP187" s="2"/>
      <c r="AQ187" s="2"/>
      <c r="AR187" s="2"/>
      <c r="AS187" s="2"/>
    </row>
    <row r="188" spans="1:45" x14ac:dyDescent="0.25">
      <c r="A188" s="2"/>
      <c r="B188" s="2"/>
      <c r="C188" s="2"/>
      <c r="D188" s="2"/>
      <c r="E188" s="2"/>
      <c r="F188" s="222"/>
      <c r="G188" s="2"/>
      <c r="H188" s="222"/>
      <c r="I188" s="222"/>
      <c r="J188" s="222"/>
      <c r="K188" s="222"/>
      <c r="L188" s="222"/>
      <c r="M188" s="222"/>
      <c r="N188" s="222"/>
      <c r="O188" s="222"/>
      <c r="P188" s="2"/>
      <c r="Q188" s="222"/>
      <c r="R188" s="2"/>
      <c r="S188" s="222"/>
      <c r="T188" s="2"/>
      <c r="U188" s="222"/>
      <c r="V188" s="2"/>
      <c r="W188" s="222"/>
      <c r="X188" s="2"/>
      <c r="Y188" s="222"/>
      <c r="Z188" s="2"/>
      <c r="AA188" s="222"/>
      <c r="AB188" s="2"/>
      <c r="AC188" s="222"/>
      <c r="AD188" s="2"/>
      <c r="AE188" s="222"/>
      <c r="AF188" s="2"/>
      <c r="AG188" s="222"/>
      <c r="AH188" s="2"/>
      <c r="AI188" s="2"/>
      <c r="AJ188" s="2"/>
      <c r="AK188" s="2"/>
      <c r="AL188" s="2"/>
      <c r="AM188" s="2"/>
      <c r="AN188" s="2"/>
      <c r="AO188" s="2"/>
      <c r="AP188" s="2"/>
      <c r="AQ188" s="2"/>
      <c r="AR188" s="2"/>
      <c r="AS188" s="2"/>
    </row>
    <row r="189" spans="1:45" x14ac:dyDescent="0.25">
      <c r="A189" s="2"/>
      <c r="B189" s="2"/>
      <c r="C189" s="2"/>
      <c r="D189" s="2"/>
      <c r="E189" s="2"/>
      <c r="F189" s="222"/>
      <c r="G189" s="2"/>
      <c r="H189" s="222"/>
      <c r="I189" s="222"/>
      <c r="J189" s="222"/>
      <c r="K189" s="222"/>
      <c r="L189" s="222"/>
      <c r="M189" s="222"/>
      <c r="N189" s="222"/>
      <c r="O189" s="222"/>
      <c r="P189" s="2"/>
      <c r="Q189" s="222"/>
      <c r="R189" s="2"/>
      <c r="S189" s="222"/>
      <c r="T189" s="2"/>
      <c r="U189" s="222"/>
      <c r="V189" s="2"/>
      <c r="W189" s="222"/>
      <c r="X189" s="2"/>
      <c r="Y189" s="222"/>
      <c r="Z189" s="2"/>
      <c r="AA189" s="222"/>
      <c r="AB189" s="2"/>
      <c r="AC189" s="222"/>
      <c r="AD189" s="2"/>
      <c r="AE189" s="222"/>
      <c r="AF189" s="2"/>
      <c r="AG189" s="222"/>
      <c r="AH189" s="2"/>
      <c r="AI189" s="2"/>
      <c r="AJ189" s="2"/>
      <c r="AK189" s="2"/>
      <c r="AL189" s="2"/>
      <c r="AM189" s="2"/>
      <c r="AN189" s="2"/>
      <c r="AO189" s="2"/>
      <c r="AP189" s="2"/>
      <c r="AQ189" s="2"/>
      <c r="AR189" s="2"/>
      <c r="AS189" s="2"/>
    </row>
    <row r="190" spans="1:45" x14ac:dyDescent="0.25">
      <c r="A190" s="2"/>
      <c r="B190" s="2"/>
      <c r="C190" s="2"/>
      <c r="D190" s="2"/>
      <c r="E190" s="2"/>
      <c r="F190" s="222"/>
      <c r="G190" s="2"/>
      <c r="H190" s="222"/>
      <c r="I190" s="222"/>
      <c r="J190" s="222"/>
      <c r="K190" s="222"/>
      <c r="L190" s="222"/>
      <c r="M190" s="222"/>
      <c r="N190" s="222"/>
      <c r="O190" s="222"/>
      <c r="P190" s="2"/>
      <c r="Q190" s="222"/>
      <c r="R190" s="2"/>
      <c r="S190" s="222"/>
      <c r="T190" s="2"/>
      <c r="U190" s="222"/>
      <c r="V190" s="2"/>
      <c r="W190" s="222"/>
      <c r="X190" s="2"/>
      <c r="Y190" s="222"/>
      <c r="Z190" s="2"/>
      <c r="AA190" s="222"/>
      <c r="AB190" s="2"/>
      <c r="AC190" s="222"/>
      <c r="AD190" s="2"/>
      <c r="AE190" s="222"/>
      <c r="AF190" s="2"/>
      <c r="AG190" s="222"/>
      <c r="AH190" s="2"/>
      <c r="AI190" s="2"/>
      <c r="AJ190" s="2"/>
      <c r="AK190" s="2"/>
      <c r="AL190" s="2"/>
      <c r="AM190" s="2"/>
      <c r="AN190" s="2"/>
      <c r="AO190" s="2"/>
      <c r="AP190" s="2"/>
      <c r="AQ190" s="2"/>
      <c r="AR190" s="2"/>
      <c r="AS190" s="2"/>
    </row>
    <row r="191" spans="1:45" x14ac:dyDescent="0.25">
      <c r="A191" s="2"/>
      <c r="B191" s="2"/>
      <c r="C191" s="2"/>
      <c r="D191" s="2"/>
      <c r="E191" s="2"/>
      <c r="F191" s="222"/>
      <c r="G191" s="2"/>
      <c r="H191" s="222"/>
      <c r="I191" s="222"/>
      <c r="J191" s="222"/>
      <c r="K191" s="222"/>
      <c r="L191" s="222"/>
      <c r="M191" s="222"/>
      <c r="N191" s="222"/>
      <c r="O191" s="222"/>
      <c r="P191" s="2"/>
      <c r="Q191" s="222"/>
      <c r="R191" s="2"/>
      <c r="S191" s="222"/>
      <c r="T191" s="2"/>
      <c r="U191" s="222"/>
      <c r="V191" s="2"/>
      <c r="W191" s="222"/>
      <c r="X191" s="2"/>
      <c r="Y191" s="222"/>
      <c r="Z191" s="2"/>
      <c r="AA191" s="222"/>
      <c r="AB191" s="2"/>
      <c r="AC191" s="222"/>
      <c r="AD191" s="2"/>
      <c r="AE191" s="222"/>
      <c r="AF191" s="2"/>
      <c r="AG191" s="222"/>
      <c r="AH191" s="2"/>
      <c r="AI191" s="2"/>
      <c r="AJ191" s="2"/>
      <c r="AK191" s="2"/>
      <c r="AL191" s="2"/>
      <c r="AM191" s="2"/>
      <c r="AN191" s="2"/>
      <c r="AO191" s="2"/>
      <c r="AP191" s="2"/>
      <c r="AQ191" s="2"/>
      <c r="AR191" s="2"/>
      <c r="AS191" s="2"/>
    </row>
    <row r="192" spans="1:45" x14ac:dyDescent="0.25">
      <c r="A192" s="2"/>
      <c r="B192" s="2"/>
      <c r="C192" s="2"/>
      <c r="D192" s="2"/>
      <c r="E192" s="2"/>
      <c r="F192" s="222"/>
      <c r="G192" s="2"/>
      <c r="H192" s="222"/>
      <c r="I192" s="222"/>
      <c r="J192" s="222"/>
      <c r="K192" s="222"/>
      <c r="L192" s="222"/>
      <c r="M192" s="222"/>
      <c r="N192" s="222"/>
      <c r="O192" s="222"/>
      <c r="P192" s="2"/>
      <c r="Q192" s="222"/>
      <c r="R192" s="2"/>
      <c r="S192" s="222"/>
      <c r="T192" s="2"/>
      <c r="U192" s="222"/>
      <c r="V192" s="2"/>
      <c r="W192" s="222"/>
      <c r="X192" s="2"/>
      <c r="Y192" s="222"/>
      <c r="Z192" s="2"/>
      <c r="AA192" s="222"/>
      <c r="AB192" s="2"/>
      <c r="AC192" s="222"/>
      <c r="AD192" s="2"/>
      <c r="AE192" s="222"/>
      <c r="AF192" s="2"/>
      <c r="AG192" s="222"/>
      <c r="AH192" s="2"/>
      <c r="AI192" s="2"/>
      <c r="AJ192" s="2"/>
      <c r="AK192" s="2"/>
      <c r="AL192" s="2"/>
      <c r="AM192" s="2"/>
      <c r="AN192" s="2"/>
      <c r="AO192" s="2"/>
      <c r="AP192" s="2"/>
      <c r="AQ192" s="2"/>
      <c r="AR192" s="2"/>
      <c r="AS192" s="2"/>
    </row>
    <row r="193" spans="1:45" x14ac:dyDescent="0.25">
      <c r="A193" s="2"/>
      <c r="B193" s="2"/>
      <c r="C193" s="2"/>
      <c r="D193" s="2"/>
      <c r="E193" s="2"/>
      <c r="F193" s="222"/>
      <c r="G193" s="2"/>
      <c r="H193" s="222"/>
      <c r="I193" s="222"/>
      <c r="J193" s="222"/>
      <c r="K193" s="222"/>
      <c r="L193" s="222"/>
      <c r="M193" s="222"/>
      <c r="N193" s="222"/>
      <c r="O193" s="222"/>
      <c r="P193" s="2"/>
      <c r="Q193" s="222"/>
      <c r="R193" s="2"/>
      <c r="S193" s="222"/>
      <c r="T193" s="2"/>
      <c r="U193" s="222"/>
      <c r="V193" s="2"/>
      <c r="W193" s="222"/>
      <c r="X193" s="2"/>
      <c r="Y193" s="222"/>
      <c r="Z193" s="2"/>
      <c r="AA193" s="222"/>
      <c r="AB193" s="2"/>
      <c r="AC193" s="222"/>
      <c r="AD193" s="2"/>
      <c r="AE193" s="222"/>
      <c r="AF193" s="2"/>
      <c r="AG193" s="222"/>
      <c r="AH193" s="2"/>
      <c r="AI193" s="2"/>
      <c r="AJ193" s="2"/>
      <c r="AK193" s="2"/>
      <c r="AL193" s="2"/>
      <c r="AM193" s="2"/>
      <c r="AN193" s="2"/>
      <c r="AO193" s="2"/>
      <c r="AP193" s="2"/>
      <c r="AQ193" s="2"/>
      <c r="AR193" s="2"/>
      <c r="AS193" s="2"/>
    </row>
    <row r="194" spans="1:45" x14ac:dyDescent="0.25">
      <c r="A194" s="2"/>
      <c r="B194" s="2"/>
      <c r="C194" s="2"/>
      <c r="D194" s="2"/>
      <c r="E194" s="2"/>
      <c r="F194" s="222"/>
      <c r="G194" s="2"/>
      <c r="H194" s="222"/>
      <c r="I194" s="222"/>
      <c r="J194" s="222"/>
      <c r="K194" s="222"/>
      <c r="L194" s="222"/>
      <c r="M194" s="222"/>
      <c r="N194" s="222"/>
      <c r="O194" s="222"/>
      <c r="P194" s="2"/>
      <c r="Q194" s="222"/>
      <c r="R194" s="2"/>
      <c r="S194" s="222"/>
      <c r="T194" s="2"/>
      <c r="U194" s="222"/>
      <c r="V194" s="2"/>
      <c r="W194" s="222"/>
      <c r="X194" s="2"/>
      <c r="Y194" s="222"/>
      <c r="Z194" s="2"/>
      <c r="AA194" s="222"/>
      <c r="AB194" s="2"/>
      <c r="AC194" s="222"/>
      <c r="AD194" s="2"/>
      <c r="AE194" s="222"/>
      <c r="AF194" s="2"/>
      <c r="AG194" s="222"/>
      <c r="AH194" s="2"/>
      <c r="AI194" s="2"/>
      <c r="AJ194" s="2"/>
      <c r="AK194" s="2"/>
      <c r="AL194" s="2"/>
      <c r="AM194" s="2"/>
      <c r="AN194" s="2"/>
      <c r="AO194" s="2"/>
      <c r="AP194" s="2"/>
      <c r="AQ194" s="2"/>
      <c r="AR194" s="2"/>
      <c r="AS194" s="2"/>
    </row>
    <row r="195" spans="1:45" x14ac:dyDescent="0.25">
      <c r="A195" s="2"/>
      <c r="B195" s="2"/>
      <c r="C195" s="2"/>
      <c r="D195" s="2"/>
      <c r="E195" s="2"/>
      <c r="F195" s="222"/>
      <c r="G195" s="2"/>
      <c r="H195" s="222"/>
      <c r="I195" s="222"/>
      <c r="J195" s="222"/>
      <c r="K195" s="222"/>
      <c r="L195" s="222"/>
      <c r="M195" s="222"/>
      <c r="N195" s="222"/>
      <c r="O195" s="222"/>
      <c r="P195" s="2"/>
      <c r="Q195" s="222"/>
      <c r="R195" s="2"/>
      <c r="S195" s="222"/>
      <c r="T195" s="2"/>
      <c r="U195" s="222"/>
      <c r="V195" s="2"/>
      <c r="W195" s="222"/>
      <c r="X195" s="2"/>
      <c r="Y195" s="222"/>
      <c r="Z195" s="2"/>
      <c r="AA195" s="222"/>
      <c r="AB195" s="2"/>
      <c r="AC195" s="222"/>
      <c r="AD195" s="2"/>
      <c r="AE195" s="222"/>
      <c r="AF195" s="2"/>
      <c r="AG195" s="222"/>
      <c r="AH195" s="2"/>
      <c r="AI195" s="2"/>
      <c r="AJ195" s="2"/>
      <c r="AK195" s="2"/>
      <c r="AL195" s="2"/>
      <c r="AM195" s="2"/>
      <c r="AN195" s="2"/>
      <c r="AO195" s="2"/>
      <c r="AP195" s="2"/>
      <c r="AQ195" s="2"/>
      <c r="AR195" s="2"/>
      <c r="AS195" s="2"/>
    </row>
    <row r="196" spans="1:45" x14ac:dyDescent="0.25">
      <c r="A196" s="2"/>
      <c r="B196" s="2"/>
      <c r="C196" s="2"/>
      <c r="D196" s="2"/>
      <c r="E196" s="2"/>
      <c r="F196" s="222"/>
      <c r="G196" s="2"/>
      <c r="H196" s="222"/>
      <c r="I196" s="222"/>
      <c r="J196" s="222"/>
      <c r="K196" s="222"/>
      <c r="L196" s="222"/>
      <c r="M196" s="222"/>
      <c r="N196" s="222"/>
      <c r="O196" s="222"/>
      <c r="P196" s="2"/>
      <c r="Q196" s="222"/>
      <c r="R196" s="2"/>
      <c r="S196" s="222"/>
      <c r="T196" s="2"/>
      <c r="U196" s="222"/>
      <c r="V196" s="2"/>
      <c r="W196" s="222"/>
      <c r="X196" s="2"/>
      <c r="Y196" s="222"/>
      <c r="Z196" s="2"/>
      <c r="AA196" s="222"/>
      <c r="AB196" s="2"/>
      <c r="AC196" s="222"/>
      <c r="AD196" s="2"/>
      <c r="AE196" s="222"/>
      <c r="AF196" s="2"/>
      <c r="AG196" s="222"/>
      <c r="AH196" s="2"/>
      <c r="AI196" s="2"/>
      <c r="AJ196" s="2"/>
      <c r="AK196" s="2"/>
      <c r="AL196" s="2"/>
      <c r="AM196" s="2"/>
      <c r="AN196" s="2"/>
      <c r="AO196" s="2"/>
      <c r="AP196" s="2"/>
      <c r="AQ196" s="2"/>
      <c r="AR196" s="2"/>
      <c r="AS196" s="2"/>
    </row>
    <row r="197" spans="1:45" x14ac:dyDescent="0.25">
      <c r="A197" s="2"/>
      <c r="B197" s="2"/>
      <c r="C197" s="2"/>
      <c r="D197" s="2"/>
      <c r="E197" s="2"/>
      <c r="F197" s="222"/>
      <c r="G197" s="2"/>
      <c r="H197" s="222"/>
      <c r="I197" s="222"/>
      <c r="J197" s="222"/>
      <c r="K197" s="222"/>
      <c r="L197" s="222"/>
      <c r="M197" s="222"/>
      <c r="N197" s="222"/>
      <c r="O197" s="222"/>
      <c r="P197" s="2"/>
      <c r="Q197" s="222"/>
      <c r="R197" s="2"/>
      <c r="S197" s="222"/>
      <c r="T197" s="2"/>
      <c r="U197" s="222"/>
      <c r="V197" s="2"/>
      <c r="W197" s="222"/>
      <c r="X197" s="2"/>
      <c r="Y197" s="222"/>
      <c r="Z197" s="2"/>
      <c r="AA197" s="222"/>
      <c r="AB197" s="2"/>
      <c r="AC197" s="222"/>
      <c r="AD197" s="2"/>
      <c r="AE197" s="222"/>
      <c r="AF197" s="2"/>
      <c r="AG197" s="222"/>
      <c r="AH197" s="2"/>
      <c r="AI197" s="2"/>
      <c r="AJ197" s="2"/>
      <c r="AK197" s="2"/>
      <c r="AL197" s="2"/>
      <c r="AM197" s="2"/>
      <c r="AN197" s="2"/>
      <c r="AO197" s="2"/>
      <c r="AP197" s="2"/>
      <c r="AQ197" s="2"/>
      <c r="AR197" s="2"/>
      <c r="AS197" s="2"/>
    </row>
    <row r="198" spans="1:45" x14ac:dyDescent="0.25">
      <c r="A198" s="2"/>
      <c r="B198" s="2"/>
      <c r="C198" s="2"/>
      <c r="D198" s="2"/>
      <c r="E198" s="2"/>
      <c r="F198" s="222"/>
      <c r="G198" s="2"/>
      <c r="H198" s="222"/>
      <c r="I198" s="222"/>
      <c r="J198" s="222"/>
      <c r="K198" s="222"/>
      <c r="L198" s="222"/>
      <c r="M198" s="222"/>
      <c r="N198" s="222"/>
      <c r="O198" s="222"/>
      <c r="P198" s="2"/>
      <c r="Q198" s="222"/>
      <c r="R198" s="2"/>
      <c r="S198" s="222"/>
      <c r="T198" s="2"/>
      <c r="U198" s="222"/>
      <c r="V198" s="2"/>
      <c r="W198" s="222"/>
      <c r="X198" s="2"/>
      <c r="Y198" s="222"/>
      <c r="Z198" s="2"/>
      <c r="AA198" s="222"/>
      <c r="AB198" s="2"/>
      <c r="AC198" s="222"/>
      <c r="AD198" s="2"/>
      <c r="AE198" s="222"/>
      <c r="AF198" s="2"/>
      <c r="AG198" s="222"/>
      <c r="AH198" s="2"/>
      <c r="AI198" s="2"/>
      <c r="AJ198" s="2"/>
      <c r="AK198" s="2"/>
      <c r="AL198" s="2"/>
      <c r="AM198" s="2"/>
      <c r="AN198" s="2"/>
      <c r="AO198" s="2"/>
      <c r="AP198" s="2"/>
      <c r="AQ198" s="2"/>
      <c r="AR198" s="2"/>
      <c r="AS198" s="2"/>
    </row>
    <row r="199" spans="1:45" x14ac:dyDescent="0.25">
      <c r="A199" s="2"/>
      <c r="B199" s="2"/>
      <c r="C199" s="2"/>
      <c r="D199" s="2"/>
      <c r="E199" s="2"/>
      <c r="F199" s="222"/>
      <c r="G199" s="2"/>
      <c r="H199" s="222"/>
      <c r="I199" s="222"/>
      <c r="J199" s="222"/>
      <c r="K199" s="222"/>
      <c r="L199" s="222"/>
      <c r="M199" s="222"/>
      <c r="N199" s="222"/>
      <c r="O199" s="222"/>
      <c r="P199" s="2"/>
      <c r="Q199" s="222"/>
      <c r="R199" s="2"/>
      <c r="S199" s="222"/>
      <c r="T199" s="2"/>
      <c r="U199" s="222"/>
      <c r="V199" s="2"/>
      <c r="W199" s="222"/>
      <c r="X199" s="2"/>
      <c r="Y199" s="222"/>
      <c r="Z199" s="2"/>
      <c r="AA199" s="222"/>
      <c r="AB199" s="2"/>
      <c r="AC199" s="222"/>
      <c r="AD199" s="2"/>
      <c r="AE199" s="222"/>
      <c r="AF199" s="2"/>
      <c r="AG199" s="222"/>
      <c r="AH199" s="2"/>
      <c r="AI199" s="2"/>
      <c r="AJ199" s="2"/>
      <c r="AK199" s="2"/>
      <c r="AL199" s="2"/>
      <c r="AM199" s="2"/>
      <c r="AN199" s="2"/>
      <c r="AO199" s="2"/>
      <c r="AP199" s="2"/>
      <c r="AQ199" s="2"/>
      <c r="AR199" s="2"/>
      <c r="AS199" s="2"/>
    </row>
    <row r="200" spans="1:45" x14ac:dyDescent="0.25">
      <c r="A200" s="2"/>
      <c r="B200" s="2"/>
      <c r="C200" s="2"/>
      <c r="D200" s="2"/>
      <c r="E200" s="2"/>
      <c r="F200" s="222"/>
      <c r="G200" s="2"/>
      <c r="H200" s="222"/>
      <c r="I200" s="222"/>
      <c r="J200" s="222"/>
      <c r="K200" s="222"/>
      <c r="L200" s="222"/>
      <c r="M200" s="222"/>
      <c r="N200" s="222"/>
      <c r="O200" s="222"/>
      <c r="P200" s="2"/>
      <c r="Q200" s="222"/>
      <c r="R200" s="2"/>
      <c r="S200" s="222"/>
      <c r="T200" s="2"/>
      <c r="U200" s="222"/>
      <c r="V200" s="2"/>
      <c r="W200" s="222"/>
      <c r="X200" s="2"/>
      <c r="Y200" s="222"/>
      <c r="Z200" s="2"/>
      <c r="AA200" s="222"/>
      <c r="AB200" s="2"/>
      <c r="AC200" s="222"/>
      <c r="AD200" s="2"/>
      <c r="AE200" s="222"/>
      <c r="AF200" s="2"/>
      <c r="AG200" s="222"/>
      <c r="AH200" s="2"/>
      <c r="AI200" s="2"/>
      <c r="AJ200" s="2"/>
      <c r="AK200" s="2"/>
      <c r="AL200" s="2"/>
      <c r="AM200" s="2"/>
      <c r="AN200" s="2"/>
      <c r="AO200" s="2"/>
      <c r="AP200" s="2"/>
      <c r="AQ200" s="2"/>
      <c r="AR200" s="2"/>
      <c r="AS200" s="2"/>
    </row>
    <row r="201" spans="1:45" x14ac:dyDescent="0.25">
      <c r="A201" s="2"/>
      <c r="B201" s="2"/>
      <c r="C201" s="2"/>
      <c r="D201" s="2"/>
      <c r="E201" s="2"/>
      <c r="F201" s="222"/>
      <c r="G201" s="2"/>
      <c r="H201" s="222"/>
      <c r="I201" s="222"/>
      <c r="J201" s="222"/>
      <c r="K201" s="222"/>
      <c r="L201" s="222"/>
      <c r="M201" s="222"/>
      <c r="N201" s="222"/>
      <c r="O201" s="222"/>
      <c r="P201" s="2"/>
      <c r="Q201" s="222"/>
      <c r="R201" s="2"/>
      <c r="S201" s="222"/>
      <c r="T201" s="2"/>
      <c r="U201" s="222"/>
      <c r="V201" s="2"/>
      <c r="W201" s="222"/>
      <c r="X201" s="2"/>
      <c r="Y201" s="222"/>
      <c r="Z201" s="2"/>
      <c r="AA201" s="222"/>
      <c r="AB201" s="2"/>
      <c r="AC201" s="222"/>
      <c r="AD201" s="2"/>
      <c r="AE201" s="222"/>
      <c r="AF201" s="2"/>
      <c r="AG201" s="222"/>
      <c r="AH201" s="2"/>
      <c r="AI201" s="2"/>
      <c r="AJ201" s="2"/>
      <c r="AK201" s="2"/>
      <c r="AL201" s="2"/>
      <c r="AM201" s="2"/>
      <c r="AN201" s="2"/>
      <c r="AO201" s="2"/>
      <c r="AP201" s="2"/>
      <c r="AQ201" s="2"/>
      <c r="AR201" s="2"/>
      <c r="AS201" s="2"/>
    </row>
    <row r="202" spans="1:45" x14ac:dyDescent="0.25">
      <c r="A202" s="2"/>
      <c r="B202" s="2"/>
      <c r="C202" s="2"/>
      <c r="D202" s="2"/>
      <c r="E202" s="2"/>
      <c r="F202" s="222"/>
      <c r="G202" s="2"/>
      <c r="H202" s="222"/>
      <c r="I202" s="222"/>
      <c r="J202" s="222"/>
      <c r="K202" s="222"/>
      <c r="L202" s="222"/>
      <c r="M202" s="222"/>
      <c r="N202" s="222"/>
      <c r="O202" s="222"/>
      <c r="P202" s="2"/>
      <c r="Q202" s="222"/>
      <c r="R202" s="2"/>
      <c r="S202" s="222"/>
      <c r="T202" s="2"/>
      <c r="U202" s="222"/>
      <c r="V202" s="2"/>
      <c r="W202" s="222"/>
      <c r="X202" s="2"/>
      <c r="Y202" s="222"/>
      <c r="Z202" s="2"/>
      <c r="AA202" s="222"/>
      <c r="AB202" s="2"/>
      <c r="AC202" s="222"/>
      <c r="AD202" s="2"/>
      <c r="AE202" s="222"/>
      <c r="AF202" s="2"/>
      <c r="AG202" s="222"/>
      <c r="AH202" s="2"/>
      <c r="AI202" s="2"/>
      <c r="AJ202" s="2"/>
      <c r="AK202" s="2"/>
      <c r="AL202" s="2"/>
      <c r="AM202" s="2"/>
      <c r="AN202" s="2"/>
      <c r="AO202" s="2"/>
      <c r="AP202" s="2"/>
      <c r="AQ202" s="2"/>
      <c r="AR202" s="2"/>
      <c r="AS202" s="2"/>
    </row>
    <row r="203" spans="1:45" x14ac:dyDescent="0.25">
      <c r="A203" s="2"/>
      <c r="B203" s="2"/>
      <c r="C203" s="2"/>
      <c r="D203" s="2"/>
      <c r="E203" s="2"/>
      <c r="F203" s="222"/>
      <c r="G203" s="2"/>
      <c r="H203" s="222"/>
      <c r="I203" s="222"/>
      <c r="J203" s="222"/>
      <c r="K203" s="222"/>
      <c r="L203" s="222"/>
      <c r="M203" s="222"/>
      <c r="N203" s="222"/>
      <c r="O203" s="222"/>
      <c r="P203" s="2"/>
      <c r="Q203" s="222"/>
      <c r="R203" s="2"/>
      <c r="S203" s="222"/>
      <c r="T203" s="2"/>
      <c r="U203" s="222"/>
      <c r="V203" s="2"/>
      <c r="W203" s="222"/>
      <c r="X203" s="2"/>
      <c r="Y203" s="222"/>
      <c r="Z203" s="2"/>
      <c r="AA203" s="222"/>
      <c r="AB203" s="2"/>
      <c r="AC203" s="222"/>
      <c r="AD203" s="2"/>
      <c r="AE203" s="222"/>
      <c r="AF203" s="2"/>
      <c r="AG203" s="222"/>
      <c r="AH203" s="2"/>
      <c r="AI203" s="2"/>
      <c r="AJ203" s="2"/>
      <c r="AK203" s="2"/>
      <c r="AL203" s="2"/>
      <c r="AM203" s="2"/>
      <c r="AN203" s="2"/>
      <c r="AO203" s="2"/>
      <c r="AP203" s="2"/>
      <c r="AQ203" s="2"/>
      <c r="AR203" s="2"/>
      <c r="AS203" s="2"/>
    </row>
    <row r="204" spans="1:45" x14ac:dyDescent="0.25">
      <c r="A204" s="2"/>
      <c r="B204" s="2"/>
      <c r="C204" s="2"/>
      <c r="D204" s="2"/>
      <c r="E204" s="2"/>
      <c r="F204" s="222"/>
      <c r="G204" s="2"/>
      <c r="H204" s="222"/>
      <c r="I204" s="222"/>
      <c r="J204" s="222"/>
      <c r="K204" s="222"/>
      <c r="L204" s="222"/>
      <c r="M204" s="222"/>
      <c r="N204" s="222"/>
      <c r="O204" s="222"/>
      <c r="P204" s="2"/>
      <c r="Q204" s="222"/>
      <c r="R204" s="2"/>
      <c r="S204" s="222"/>
      <c r="T204" s="2"/>
      <c r="U204" s="222"/>
      <c r="V204" s="2"/>
      <c r="W204" s="222"/>
      <c r="X204" s="2"/>
      <c r="Y204" s="222"/>
      <c r="Z204" s="2"/>
      <c r="AA204" s="222"/>
      <c r="AB204" s="2"/>
      <c r="AC204" s="222"/>
      <c r="AD204" s="2"/>
      <c r="AE204" s="222"/>
      <c r="AF204" s="2"/>
      <c r="AG204" s="222"/>
      <c r="AH204" s="2"/>
      <c r="AI204" s="2"/>
      <c r="AJ204" s="2"/>
      <c r="AK204" s="2"/>
      <c r="AL204" s="2"/>
      <c r="AM204" s="2"/>
      <c r="AN204" s="2"/>
      <c r="AO204" s="2"/>
      <c r="AP204" s="2"/>
      <c r="AQ204" s="2"/>
      <c r="AR204" s="2"/>
      <c r="AS204" s="2"/>
    </row>
    <row r="205" spans="1:45" x14ac:dyDescent="0.25">
      <c r="A205" s="2"/>
      <c r="B205" s="2"/>
      <c r="C205" s="2"/>
      <c r="D205" s="2"/>
      <c r="E205" s="2"/>
      <c r="F205" s="222"/>
      <c r="G205" s="2"/>
      <c r="H205" s="222"/>
      <c r="I205" s="222"/>
      <c r="J205" s="222"/>
      <c r="K205" s="222"/>
      <c r="L205" s="222"/>
      <c r="M205" s="222"/>
      <c r="N205" s="222"/>
      <c r="O205" s="222"/>
      <c r="P205" s="2"/>
      <c r="Q205" s="222"/>
      <c r="R205" s="2"/>
      <c r="S205" s="222"/>
      <c r="T205" s="2"/>
      <c r="U205" s="222"/>
      <c r="V205" s="2"/>
      <c r="W205" s="222"/>
      <c r="X205" s="2"/>
      <c r="Y205" s="222"/>
      <c r="Z205" s="2"/>
      <c r="AA205" s="222"/>
      <c r="AB205" s="2"/>
      <c r="AC205" s="222"/>
      <c r="AD205" s="2"/>
      <c r="AE205" s="222"/>
      <c r="AF205" s="2"/>
      <c r="AG205" s="222"/>
      <c r="AH205" s="2"/>
      <c r="AI205" s="2"/>
      <c r="AJ205" s="2"/>
      <c r="AK205" s="2"/>
      <c r="AL205" s="2"/>
      <c r="AM205" s="2"/>
      <c r="AN205" s="2"/>
      <c r="AO205" s="2"/>
      <c r="AP205" s="2"/>
      <c r="AQ205" s="2"/>
      <c r="AR205" s="2"/>
      <c r="AS205" s="2"/>
    </row>
    <row r="206" spans="1:45" x14ac:dyDescent="0.25">
      <c r="A206" s="2"/>
      <c r="B206" s="2"/>
      <c r="C206" s="2"/>
      <c r="D206" s="2"/>
      <c r="E206" s="2"/>
      <c r="F206" s="222"/>
      <c r="G206" s="2"/>
      <c r="H206" s="222"/>
      <c r="I206" s="222"/>
      <c r="J206" s="222"/>
      <c r="K206" s="222"/>
      <c r="L206" s="222"/>
      <c r="M206" s="222"/>
      <c r="N206" s="222"/>
      <c r="O206" s="222"/>
      <c r="P206" s="2"/>
      <c r="Q206" s="222"/>
      <c r="R206" s="2"/>
      <c r="S206" s="222"/>
      <c r="T206" s="2"/>
      <c r="U206" s="222"/>
      <c r="V206" s="2"/>
      <c r="W206" s="222"/>
      <c r="X206" s="2"/>
      <c r="Y206" s="222"/>
      <c r="Z206" s="2"/>
      <c r="AA206" s="222"/>
      <c r="AB206" s="2"/>
      <c r="AC206" s="222"/>
      <c r="AD206" s="2"/>
      <c r="AE206" s="222"/>
      <c r="AF206" s="2"/>
      <c r="AG206" s="222"/>
      <c r="AH206" s="2"/>
      <c r="AI206" s="2"/>
      <c r="AJ206" s="2"/>
      <c r="AK206" s="2"/>
      <c r="AL206" s="2"/>
      <c r="AM206" s="2"/>
      <c r="AN206" s="2"/>
      <c r="AO206" s="2"/>
      <c r="AP206" s="2"/>
      <c r="AQ206" s="2"/>
      <c r="AR206" s="2"/>
      <c r="AS206" s="2"/>
    </row>
    <row r="207" spans="1:45" x14ac:dyDescent="0.25">
      <c r="A207" s="2"/>
      <c r="B207" s="2"/>
      <c r="C207" s="2"/>
      <c r="D207" s="2"/>
      <c r="E207" s="2"/>
      <c r="F207" s="222"/>
      <c r="G207" s="2"/>
      <c r="H207" s="222"/>
      <c r="I207" s="222"/>
      <c r="J207" s="222"/>
      <c r="K207" s="222"/>
      <c r="L207" s="222"/>
      <c r="M207" s="222"/>
      <c r="N207" s="222"/>
      <c r="O207" s="222"/>
      <c r="P207" s="2"/>
      <c r="Q207" s="222"/>
      <c r="R207" s="2"/>
      <c r="S207" s="222"/>
      <c r="T207" s="2"/>
      <c r="U207" s="222"/>
      <c r="V207" s="2"/>
      <c r="W207" s="222"/>
      <c r="X207" s="2"/>
      <c r="Y207" s="222"/>
      <c r="Z207" s="2"/>
      <c r="AA207" s="222"/>
      <c r="AB207" s="2"/>
      <c r="AC207" s="222"/>
      <c r="AD207" s="2"/>
      <c r="AE207" s="222"/>
      <c r="AF207" s="2"/>
      <c r="AG207" s="222"/>
      <c r="AH207" s="2"/>
      <c r="AI207" s="2"/>
      <c r="AJ207" s="2"/>
      <c r="AK207" s="2"/>
      <c r="AL207" s="2"/>
      <c r="AM207" s="2"/>
      <c r="AN207" s="2"/>
      <c r="AO207" s="2"/>
      <c r="AP207" s="2"/>
      <c r="AQ207" s="2"/>
      <c r="AR207" s="2"/>
      <c r="AS207" s="2"/>
    </row>
    <row r="208" spans="1:45" x14ac:dyDescent="0.25">
      <c r="A208" s="2"/>
      <c r="B208" s="2"/>
      <c r="C208" s="2"/>
      <c r="D208" s="2"/>
      <c r="E208" s="2"/>
      <c r="F208" s="222"/>
      <c r="G208" s="2"/>
      <c r="H208" s="222"/>
      <c r="I208" s="222"/>
      <c r="J208" s="222"/>
      <c r="K208" s="222"/>
      <c r="L208" s="222"/>
      <c r="M208" s="222"/>
      <c r="N208" s="222"/>
      <c r="O208" s="222"/>
      <c r="P208" s="2"/>
      <c r="Q208" s="222"/>
      <c r="R208" s="2"/>
      <c r="S208" s="222"/>
      <c r="T208" s="2"/>
      <c r="U208" s="222"/>
      <c r="V208" s="2"/>
      <c r="W208" s="222"/>
      <c r="X208" s="2"/>
      <c r="Y208" s="222"/>
      <c r="Z208" s="2"/>
      <c r="AA208" s="222"/>
      <c r="AB208" s="2"/>
      <c r="AC208" s="222"/>
      <c r="AD208" s="2"/>
      <c r="AE208" s="222"/>
      <c r="AF208" s="2"/>
      <c r="AG208" s="222"/>
      <c r="AH208" s="2"/>
      <c r="AI208" s="2"/>
      <c r="AJ208" s="2"/>
      <c r="AK208" s="2"/>
      <c r="AL208" s="2"/>
      <c r="AM208" s="2"/>
      <c r="AN208" s="2"/>
      <c r="AO208" s="2"/>
      <c r="AP208" s="2"/>
      <c r="AQ208" s="2"/>
      <c r="AR208" s="2"/>
      <c r="AS208" s="2"/>
    </row>
    <row r="209" spans="1:45" x14ac:dyDescent="0.25">
      <c r="A209" s="2"/>
      <c r="B209" s="2"/>
      <c r="C209" s="2"/>
      <c r="D209" s="2"/>
      <c r="E209" s="2"/>
      <c r="F209" s="222"/>
      <c r="G209" s="2"/>
      <c r="H209" s="222"/>
      <c r="I209" s="222"/>
      <c r="J209" s="222"/>
      <c r="K209" s="222"/>
      <c r="L209" s="222"/>
      <c r="M209" s="222"/>
      <c r="N209" s="222"/>
      <c r="O209" s="222"/>
      <c r="P209" s="2"/>
      <c r="Q209" s="222"/>
      <c r="R209" s="2"/>
      <c r="S209" s="222"/>
      <c r="T209" s="2"/>
      <c r="U209" s="222"/>
      <c r="V209" s="2"/>
      <c r="W209" s="222"/>
      <c r="X209" s="2"/>
      <c r="Y209" s="222"/>
      <c r="Z209" s="2"/>
      <c r="AA209" s="222"/>
      <c r="AB209" s="2"/>
      <c r="AC209" s="222"/>
      <c r="AD209" s="2"/>
      <c r="AE209" s="222"/>
      <c r="AF209" s="2"/>
      <c r="AG209" s="222"/>
      <c r="AH209" s="2"/>
      <c r="AI209" s="2"/>
      <c r="AJ209" s="2"/>
      <c r="AK209" s="2"/>
      <c r="AL209" s="2"/>
      <c r="AM209" s="2"/>
      <c r="AN209" s="2"/>
      <c r="AO209" s="2"/>
      <c r="AP209" s="2"/>
      <c r="AQ209" s="2"/>
      <c r="AR209" s="2"/>
      <c r="AS209" s="2"/>
    </row>
    <row r="210" spans="1:45" x14ac:dyDescent="0.25">
      <c r="A210" s="2"/>
      <c r="B210" s="2"/>
      <c r="C210" s="2"/>
      <c r="D210" s="2"/>
      <c r="E210" s="2"/>
      <c r="F210" s="222"/>
      <c r="G210" s="2"/>
      <c r="H210" s="222"/>
      <c r="I210" s="222"/>
      <c r="J210" s="222"/>
      <c r="K210" s="222"/>
      <c r="L210" s="222"/>
      <c r="M210" s="222"/>
      <c r="N210" s="222"/>
      <c r="O210" s="222"/>
      <c r="P210" s="2"/>
      <c r="Q210" s="222"/>
      <c r="R210" s="2"/>
      <c r="S210" s="222"/>
      <c r="T210" s="2"/>
      <c r="U210" s="222"/>
      <c r="V210" s="2"/>
      <c r="W210" s="222"/>
      <c r="X210" s="2"/>
      <c r="Y210" s="222"/>
      <c r="Z210" s="2"/>
      <c r="AA210" s="222"/>
      <c r="AB210" s="2"/>
      <c r="AC210" s="222"/>
      <c r="AD210" s="2"/>
      <c r="AE210" s="222"/>
      <c r="AF210" s="2"/>
      <c r="AG210" s="222"/>
      <c r="AH210" s="2"/>
      <c r="AI210" s="2"/>
      <c r="AJ210" s="2"/>
      <c r="AK210" s="2"/>
      <c r="AL210" s="2"/>
      <c r="AM210" s="2"/>
      <c r="AN210" s="2"/>
      <c r="AO210" s="2"/>
      <c r="AP210" s="2"/>
      <c r="AQ210" s="2"/>
      <c r="AR210" s="2"/>
      <c r="AS210" s="2"/>
    </row>
    <row r="211" spans="1:45" x14ac:dyDescent="0.25">
      <c r="A211" s="2"/>
      <c r="B211" s="2"/>
      <c r="C211" s="2"/>
      <c r="D211" s="2"/>
      <c r="E211" s="2"/>
      <c r="F211" s="222"/>
      <c r="G211" s="2"/>
      <c r="H211" s="222"/>
      <c r="I211" s="222"/>
      <c r="J211" s="222"/>
      <c r="K211" s="222"/>
      <c r="L211" s="222"/>
      <c r="M211" s="222"/>
      <c r="N211" s="222"/>
      <c r="O211" s="222"/>
      <c r="P211" s="2"/>
      <c r="Q211" s="222"/>
      <c r="R211" s="2"/>
      <c r="S211" s="222"/>
      <c r="T211" s="2"/>
      <c r="U211" s="222"/>
      <c r="V211" s="2"/>
      <c r="W211" s="222"/>
      <c r="X211" s="2"/>
      <c r="Y211" s="222"/>
      <c r="Z211" s="2"/>
      <c r="AA211" s="222"/>
      <c r="AB211" s="2"/>
      <c r="AC211" s="222"/>
      <c r="AD211" s="2"/>
      <c r="AE211" s="222"/>
      <c r="AF211" s="2"/>
      <c r="AG211" s="222"/>
      <c r="AH211" s="2"/>
      <c r="AI211" s="2"/>
      <c r="AJ211" s="2"/>
      <c r="AK211" s="2"/>
      <c r="AL211" s="2"/>
      <c r="AM211" s="2"/>
      <c r="AN211" s="2"/>
      <c r="AO211" s="2"/>
      <c r="AP211" s="2"/>
      <c r="AQ211" s="2"/>
      <c r="AR211" s="2"/>
      <c r="AS211" s="2"/>
    </row>
    <row r="212" spans="1:45" x14ac:dyDescent="0.25">
      <c r="A212" s="2"/>
      <c r="B212" s="2"/>
      <c r="C212" s="2"/>
      <c r="D212" s="2"/>
      <c r="E212" s="2"/>
      <c r="F212" s="222"/>
      <c r="G212" s="2"/>
      <c r="H212" s="222"/>
      <c r="I212" s="222"/>
      <c r="J212" s="222"/>
      <c r="K212" s="222"/>
      <c r="L212" s="222"/>
      <c r="M212" s="222"/>
      <c r="N212" s="222"/>
      <c r="O212" s="222"/>
      <c r="P212" s="2"/>
      <c r="Q212" s="222"/>
      <c r="R212" s="2"/>
      <c r="S212" s="222"/>
      <c r="T212" s="2"/>
      <c r="U212" s="222"/>
      <c r="V212" s="2"/>
      <c r="W212" s="222"/>
      <c r="X212" s="2"/>
      <c r="Y212" s="222"/>
      <c r="Z212" s="2"/>
      <c r="AA212" s="222"/>
      <c r="AB212" s="2"/>
      <c r="AC212" s="222"/>
      <c r="AD212" s="2"/>
      <c r="AE212" s="222"/>
      <c r="AF212" s="2"/>
      <c r="AG212" s="222"/>
      <c r="AH212" s="2"/>
      <c r="AI212" s="2"/>
      <c r="AJ212" s="2"/>
      <c r="AK212" s="2"/>
      <c r="AL212" s="2"/>
      <c r="AM212" s="2"/>
      <c r="AN212" s="2"/>
      <c r="AO212" s="2"/>
      <c r="AP212" s="2"/>
      <c r="AQ212" s="2"/>
      <c r="AR212" s="2"/>
      <c r="AS212" s="2"/>
    </row>
    <row r="213" spans="1:45" x14ac:dyDescent="0.25">
      <c r="A213" s="2"/>
      <c r="B213" s="2"/>
      <c r="C213" s="2"/>
      <c r="D213" s="2"/>
      <c r="E213" s="2"/>
      <c r="F213" s="222"/>
      <c r="G213" s="2"/>
      <c r="H213" s="222"/>
      <c r="I213" s="222"/>
      <c r="J213" s="222"/>
      <c r="K213" s="222"/>
      <c r="L213" s="222"/>
      <c r="M213" s="222"/>
      <c r="N213" s="222"/>
      <c r="O213" s="222"/>
      <c r="P213" s="2"/>
      <c r="Q213" s="222"/>
      <c r="R213" s="2"/>
      <c r="S213" s="222"/>
      <c r="T213" s="2"/>
      <c r="U213" s="222"/>
      <c r="V213" s="2"/>
      <c r="W213" s="222"/>
      <c r="X213" s="2"/>
      <c r="Y213" s="222"/>
      <c r="Z213" s="2"/>
      <c r="AA213" s="222"/>
      <c r="AB213" s="2"/>
      <c r="AC213" s="222"/>
      <c r="AD213" s="2"/>
      <c r="AE213" s="222"/>
      <c r="AF213" s="2"/>
      <c r="AG213" s="222"/>
      <c r="AH213" s="2"/>
      <c r="AI213" s="2"/>
      <c r="AJ213" s="2"/>
      <c r="AK213" s="2"/>
      <c r="AL213" s="2"/>
      <c r="AM213" s="2"/>
      <c r="AN213" s="2"/>
      <c r="AO213" s="2"/>
      <c r="AP213" s="2"/>
      <c r="AQ213" s="2"/>
      <c r="AR213" s="2"/>
      <c r="AS213" s="2"/>
    </row>
    <row r="214" spans="1:45" x14ac:dyDescent="0.25">
      <c r="A214" s="2"/>
      <c r="B214" s="2"/>
      <c r="C214" s="2"/>
      <c r="D214" s="2"/>
      <c r="E214" s="2"/>
      <c r="F214" s="222"/>
      <c r="G214" s="2"/>
      <c r="H214" s="222"/>
      <c r="I214" s="222"/>
      <c r="J214" s="222"/>
      <c r="K214" s="222"/>
      <c r="L214" s="222"/>
      <c r="M214" s="222"/>
      <c r="N214" s="222"/>
      <c r="O214" s="222"/>
      <c r="P214" s="2"/>
      <c r="Q214" s="222"/>
      <c r="R214" s="2"/>
      <c r="S214" s="222"/>
      <c r="T214" s="2"/>
      <c r="U214" s="222"/>
      <c r="V214" s="2"/>
      <c r="W214" s="222"/>
      <c r="X214" s="2"/>
      <c r="Y214" s="222"/>
      <c r="Z214" s="2"/>
      <c r="AA214" s="222"/>
      <c r="AB214" s="2"/>
      <c r="AC214" s="222"/>
      <c r="AD214" s="2"/>
      <c r="AE214" s="222"/>
      <c r="AF214" s="2"/>
      <c r="AG214" s="222"/>
      <c r="AH214" s="2"/>
      <c r="AI214" s="2"/>
      <c r="AJ214" s="2"/>
      <c r="AK214" s="2"/>
      <c r="AL214" s="2"/>
      <c r="AM214" s="2"/>
      <c r="AN214" s="2"/>
      <c r="AO214" s="2"/>
      <c r="AP214" s="2"/>
      <c r="AQ214" s="2"/>
      <c r="AR214" s="2"/>
      <c r="AS214" s="2"/>
    </row>
    <row r="215" spans="1:45" x14ac:dyDescent="0.25">
      <c r="A215" s="2"/>
      <c r="B215" s="2"/>
      <c r="C215" s="2"/>
      <c r="D215" s="2"/>
      <c r="E215" s="2"/>
      <c r="F215" s="222"/>
      <c r="G215" s="2"/>
      <c r="H215" s="222"/>
      <c r="I215" s="222"/>
      <c r="J215" s="222"/>
      <c r="K215" s="222"/>
      <c r="L215" s="222"/>
      <c r="M215" s="222"/>
      <c r="N215" s="222"/>
      <c r="O215" s="222"/>
      <c r="P215" s="2"/>
      <c r="Q215" s="222"/>
      <c r="R215" s="2"/>
      <c r="S215" s="222"/>
      <c r="T215" s="2"/>
      <c r="U215" s="222"/>
      <c r="V215" s="2"/>
      <c r="W215" s="222"/>
      <c r="X215" s="2"/>
      <c r="Y215" s="222"/>
      <c r="Z215" s="2"/>
      <c r="AA215" s="222"/>
      <c r="AB215" s="2"/>
      <c r="AC215" s="222"/>
      <c r="AD215" s="2"/>
      <c r="AE215" s="222"/>
      <c r="AF215" s="2"/>
      <c r="AG215" s="222"/>
      <c r="AH215" s="2"/>
      <c r="AI215" s="2"/>
      <c r="AJ215" s="2"/>
      <c r="AK215" s="2"/>
      <c r="AL215" s="2"/>
      <c r="AM215" s="2"/>
      <c r="AN215" s="2"/>
      <c r="AO215" s="2"/>
      <c r="AP215" s="2"/>
      <c r="AQ215" s="2"/>
      <c r="AR215" s="2"/>
      <c r="AS215" s="2"/>
    </row>
    <row r="216" spans="1:45" x14ac:dyDescent="0.25">
      <c r="A216" s="2"/>
      <c r="B216" s="2"/>
      <c r="C216" s="2"/>
      <c r="D216" s="2"/>
      <c r="E216" s="2"/>
      <c r="F216" s="222"/>
      <c r="G216" s="2"/>
      <c r="H216" s="222"/>
      <c r="I216" s="222"/>
      <c r="J216" s="222"/>
      <c r="K216" s="222"/>
      <c r="L216" s="222"/>
      <c r="M216" s="222"/>
      <c r="N216" s="222"/>
      <c r="O216" s="222"/>
      <c r="P216" s="2"/>
      <c r="Q216" s="222"/>
      <c r="R216" s="2"/>
      <c r="S216" s="222"/>
      <c r="T216" s="2"/>
      <c r="U216" s="222"/>
      <c r="V216" s="2"/>
      <c r="W216" s="222"/>
      <c r="X216" s="2"/>
      <c r="Y216" s="222"/>
      <c r="Z216" s="2"/>
      <c r="AA216" s="222"/>
      <c r="AB216" s="2"/>
      <c r="AC216" s="222"/>
      <c r="AD216" s="2"/>
      <c r="AE216" s="222"/>
      <c r="AF216" s="2"/>
      <c r="AG216" s="222"/>
      <c r="AH216" s="2"/>
      <c r="AI216" s="2"/>
      <c r="AJ216" s="2"/>
      <c r="AK216" s="2"/>
      <c r="AL216" s="2"/>
      <c r="AM216" s="2"/>
      <c r="AN216" s="2"/>
      <c r="AO216" s="2"/>
      <c r="AP216" s="2"/>
      <c r="AQ216" s="2"/>
      <c r="AR216" s="2"/>
      <c r="AS216" s="2"/>
    </row>
    <row r="217" spans="1:45" x14ac:dyDescent="0.25">
      <c r="A217" s="2"/>
      <c r="B217" s="2"/>
      <c r="C217" s="2"/>
      <c r="D217" s="2"/>
      <c r="E217" s="2"/>
      <c r="F217" s="222"/>
      <c r="G217" s="2"/>
      <c r="H217" s="222"/>
      <c r="I217" s="222"/>
      <c r="J217" s="222"/>
      <c r="K217" s="222"/>
      <c r="L217" s="222"/>
      <c r="M217" s="222"/>
      <c r="N217" s="222"/>
      <c r="O217" s="222"/>
      <c r="P217" s="2"/>
      <c r="Q217" s="222"/>
      <c r="R217" s="2"/>
      <c r="S217" s="222"/>
      <c r="T217" s="2"/>
      <c r="U217" s="222"/>
      <c r="V217" s="2"/>
      <c r="W217" s="222"/>
      <c r="X217" s="2"/>
      <c r="Y217" s="222"/>
      <c r="Z217" s="2"/>
      <c r="AA217" s="222"/>
      <c r="AB217" s="2"/>
      <c r="AC217" s="222"/>
      <c r="AD217" s="2"/>
      <c r="AE217" s="222"/>
      <c r="AF217" s="2"/>
      <c r="AG217" s="222"/>
      <c r="AH217" s="2"/>
      <c r="AI217" s="2"/>
      <c r="AJ217" s="2"/>
      <c r="AK217" s="2"/>
      <c r="AL217" s="2"/>
      <c r="AM217" s="2"/>
      <c r="AN217" s="2"/>
      <c r="AO217" s="2"/>
      <c r="AP217" s="2"/>
      <c r="AQ217" s="2"/>
      <c r="AR217" s="2"/>
      <c r="AS217" s="2"/>
    </row>
    <row r="218" spans="1:45" x14ac:dyDescent="0.25">
      <c r="A218" s="2"/>
      <c r="B218" s="2"/>
      <c r="C218" s="2"/>
      <c r="D218" s="2"/>
      <c r="E218" s="2"/>
      <c r="F218" s="222"/>
      <c r="G218" s="2"/>
      <c r="H218" s="222"/>
      <c r="I218" s="222"/>
      <c r="J218" s="222"/>
      <c r="K218" s="222"/>
      <c r="L218" s="222"/>
      <c r="M218" s="222"/>
      <c r="N218" s="222"/>
      <c r="O218" s="222"/>
      <c r="P218" s="2"/>
      <c r="Q218" s="222"/>
      <c r="R218" s="2"/>
      <c r="S218" s="222"/>
      <c r="T218" s="2"/>
      <c r="U218" s="222"/>
      <c r="V218" s="2"/>
      <c r="W218" s="222"/>
      <c r="X218" s="2"/>
      <c r="Y218" s="222"/>
      <c r="Z218" s="2"/>
      <c r="AA218" s="222"/>
      <c r="AB218" s="2"/>
      <c r="AC218" s="222"/>
      <c r="AD218" s="2"/>
      <c r="AE218" s="222"/>
      <c r="AF218" s="2"/>
      <c r="AG218" s="222"/>
      <c r="AH218" s="2"/>
      <c r="AI218" s="2"/>
      <c r="AJ218" s="2"/>
      <c r="AK218" s="2"/>
      <c r="AL218" s="2"/>
      <c r="AM218" s="2"/>
      <c r="AN218" s="2"/>
      <c r="AO218" s="2"/>
      <c r="AP218" s="2"/>
      <c r="AQ218" s="2"/>
      <c r="AR218" s="2"/>
      <c r="AS218" s="2"/>
    </row>
    <row r="219" spans="1:45" x14ac:dyDescent="0.25">
      <c r="A219" s="2"/>
      <c r="B219" s="2"/>
      <c r="C219" s="2"/>
      <c r="D219" s="2"/>
      <c r="E219" s="2"/>
      <c r="F219" s="222"/>
      <c r="G219" s="2"/>
      <c r="H219" s="222"/>
      <c r="I219" s="222"/>
      <c r="J219" s="222"/>
      <c r="K219" s="222"/>
      <c r="L219" s="222"/>
      <c r="M219" s="222"/>
      <c r="N219" s="222"/>
      <c r="O219" s="222"/>
      <c r="P219" s="2"/>
      <c r="Q219" s="222"/>
      <c r="R219" s="2"/>
      <c r="S219" s="222"/>
      <c r="T219" s="2"/>
      <c r="U219" s="222"/>
      <c r="V219" s="2"/>
      <c r="W219" s="222"/>
      <c r="X219" s="2"/>
      <c r="Y219" s="222"/>
      <c r="Z219" s="2"/>
      <c r="AA219" s="222"/>
      <c r="AB219" s="2"/>
      <c r="AC219" s="222"/>
      <c r="AD219" s="2"/>
      <c r="AE219" s="222"/>
      <c r="AF219" s="2"/>
      <c r="AG219" s="222"/>
      <c r="AH219" s="2"/>
      <c r="AI219" s="2"/>
      <c r="AJ219" s="2"/>
      <c r="AK219" s="2"/>
      <c r="AL219" s="2"/>
      <c r="AM219" s="2"/>
      <c r="AN219" s="2"/>
      <c r="AO219" s="2"/>
      <c r="AP219" s="2"/>
      <c r="AQ219" s="2"/>
      <c r="AR219" s="2"/>
      <c r="AS219" s="2"/>
    </row>
    <row r="220" spans="1:45" x14ac:dyDescent="0.25">
      <c r="A220" s="2"/>
      <c r="B220" s="2"/>
      <c r="C220" s="2"/>
      <c r="D220" s="2"/>
      <c r="E220" s="2"/>
      <c r="F220" s="222"/>
      <c r="G220" s="2"/>
      <c r="H220" s="222"/>
      <c r="I220" s="222"/>
      <c r="J220" s="222"/>
      <c r="K220" s="222"/>
      <c r="L220" s="222"/>
      <c r="M220" s="222"/>
      <c r="N220" s="222"/>
      <c r="O220" s="222"/>
      <c r="P220" s="2"/>
      <c r="Q220" s="222"/>
      <c r="R220" s="2"/>
      <c r="S220" s="222"/>
      <c r="T220" s="2"/>
      <c r="U220" s="222"/>
      <c r="V220" s="2"/>
      <c r="W220" s="222"/>
      <c r="X220" s="2"/>
      <c r="Y220" s="222"/>
      <c r="Z220" s="2"/>
      <c r="AA220" s="222"/>
      <c r="AB220" s="2"/>
      <c r="AC220" s="222"/>
      <c r="AD220" s="2"/>
      <c r="AE220" s="222"/>
      <c r="AF220" s="2"/>
      <c r="AG220" s="222"/>
      <c r="AH220" s="2"/>
      <c r="AI220" s="2"/>
      <c r="AJ220" s="2"/>
      <c r="AK220" s="2"/>
      <c r="AL220" s="2"/>
      <c r="AM220" s="2"/>
      <c r="AN220" s="2"/>
      <c r="AO220" s="2"/>
      <c r="AP220" s="2"/>
      <c r="AQ220" s="2"/>
      <c r="AR220" s="2"/>
      <c r="AS220" s="2"/>
    </row>
    <row r="221" spans="1:45" x14ac:dyDescent="0.25">
      <c r="A221" s="2"/>
      <c r="B221" s="2"/>
      <c r="C221" s="2"/>
      <c r="D221" s="2"/>
      <c r="E221" s="2"/>
      <c r="F221" s="222"/>
      <c r="G221" s="2"/>
      <c r="H221" s="222"/>
      <c r="I221" s="222"/>
      <c r="J221" s="222"/>
      <c r="K221" s="222"/>
      <c r="L221" s="222"/>
      <c r="M221" s="222"/>
      <c r="N221" s="222"/>
      <c r="O221" s="222"/>
      <c r="P221" s="2"/>
      <c r="Q221" s="222"/>
      <c r="R221" s="2"/>
      <c r="S221" s="222"/>
      <c r="T221" s="2"/>
      <c r="U221" s="222"/>
      <c r="V221" s="2"/>
      <c r="W221" s="222"/>
      <c r="X221" s="2"/>
      <c r="Y221" s="222"/>
      <c r="Z221" s="2"/>
      <c r="AA221" s="222"/>
      <c r="AB221" s="2"/>
      <c r="AC221" s="222"/>
      <c r="AD221" s="2"/>
      <c r="AE221" s="222"/>
      <c r="AF221" s="2"/>
      <c r="AG221" s="222"/>
      <c r="AH221" s="2"/>
      <c r="AI221" s="2"/>
      <c r="AJ221" s="2"/>
      <c r="AK221" s="2"/>
      <c r="AL221" s="2"/>
      <c r="AM221" s="2"/>
      <c r="AN221" s="2"/>
      <c r="AO221" s="2"/>
      <c r="AP221" s="2"/>
      <c r="AQ221" s="2"/>
      <c r="AR221" s="2"/>
      <c r="AS221" s="2"/>
    </row>
    <row r="222" spans="1:45" x14ac:dyDescent="0.25">
      <c r="A222" s="2"/>
      <c r="B222" s="2"/>
      <c r="C222" s="2"/>
      <c r="D222" s="2"/>
      <c r="E222" s="2"/>
      <c r="F222" s="222"/>
      <c r="G222" s="2"/>
      <c r="H222" s="222"/>
      <c r="I222" s="222"/>
      <c r="J222" s="222"/>
      <c r="K222" s="222"/>
      <c r="L222" s="222"/>
      <c r="M222" s="222"/>
      <c r="N222" s="222"/>
      <c r="O222" s="222"/>
      <c r="P222" s="2"/>
      <c r="Q222" s="222"/>
      <c r="R222" s="2"/>
      <c r="S222" s="222"/>
      <c r="T222" s="2"/>
      <c r="U222" s="222"/>
      <c r="V222" s="2"/>
      <c r="W222" s="222"/>
      <c r="X222" s="2"/>
      <c r="Y222" s="222"/>
      <c r="Z222" s="2"/>
      <c r="AA222" s="222"/>
      <c r="AB222" s="2"/>
      <c r="AC222" s="222"/>
      <c r="AD222" s="2"/>
      <c r="AE222" s="222"/>
      <c r="AF222" s="2"/>
      <c r="AG222" s="222"/>
      <c r="AH222" s="2"/>
      <c r="AI222" s="2"/>
      <c r="AJ222" s="2"/>
      <c r="AK222" s="2"/>
      <c r="AL222" s="2"/>
      <c r="AM222" s="2"/>
      <c r="AN222" s="2"/>
      <c r="AO222" s="2"/>
      <c r="AP222" s="2"/>
      <c r="AQ222" s="2"/>
      <c r="AR222" s="2"/>
      <c r="AS222" s="2"/>
    </row>
    <row r="223" spans="1:45" x14ac:dyDescent="0.25">
      <c r="A223" s="2"/>
      <c r="B223" s="2"/>
      <c r="C223" s="2"/>
      <c r="D223" s="2"/>
      <c r="E223" s="2"/>
      <c r="F223" s="222"/>
      <c r="G223" s="2"/>
      <c r="H223" s="222"/>
      <c r="I223" s="222"/>
      <c r="J223" s="222"/>
      <c r="K223" s="222"/>
      <c r="L223" s="222"/>
      <c r="M223" s="222"/>
      <c r="N223" s="222"/>
      <c r="O223" s="222"/>
      <c r="P223" s="2"/>
      <c r="Q223" s="222"/>
      <c r="R223" s="2"/>
      <c r="S223" s="222"/>
      <c r="T223" s="2"/>
      <c r="U223" s="222"/>
      <c r="V223" s="2"/>
      <c r="W223" s="222"/>
      <c r="X223" s="2"/>
      <c r="Y223" s="222"/>
      <c r="Z223" s="2"/>
      <c r="AA223" s="222"/>
      <c r="AB223" s="2"/>
      <c r="AC223" s="222"/>
      <c r="AD223" s="2"/>
      <c r="AE223" s="222"/>
      <c r="AF223" s="2"/>
      <c r="AG223" s="222"/>
      <c r="AH223" s="2"/>
      <c r="AI223" s="2"/>
      <c r="AJ223" s="2"/>
      <c r="AK223" s="2"/>
      <c r="AL223" s="2"/>
      <c r="AM223" s="2"/>
      <c r="AN223" s="2"/>
      <c r="AO223" s="2"/>
      <c r="AP223" s="2"/>
      <c r="AQ223" s="2"/>
      <c r="AR223" s="2"/>
      <c r="AS223" s="2"/>
    </row>
    <row r="224" spans="1:45" x14ac:dyDescent="0.25">
      <c r="A224" s="2"/>
      <c r="B224" s="2"/>
      <c r="C224" s="2"/>
      <c r="D224" s="2"/>
      <c r="E224" s="2"/>
      <c r="F224" s="222"/>
      <c r="G224" s="2"/>
      <c r="H224" s="222"/>
      <c r="I224" s="222"/>
      <c r="J224" s="222"/>
      <c r="K224" s="222"/>
      <c r="L224" s="222"/>
      <c r="M224" s="222"/>
      <c r="N224" s="222"/>
      <c r="O224" s="222"/>
      <c r="P224" s="2"/>
      <c r="Q224" s="222"/>
      <c r="R224" s="2"/>
      <c r="S224" s="222"/>
      <c r="T224" s="2"/>
      <c r="U224" s="222"/>
      <c r="V224" s="2"/>
      <c r="W224" s="222"/>
      <c r="X224" s="2"/>
      <c r="Y224" s="222"/>
      <c r="Z224" s="2"/>
      <c r="AA224" s="222"/>
      <c r="AB224" s="2"/>
      <c r="AC224" s="222"/>
      <c r="AD224" s="2"/>
      <c r="AE224" s="222"/>
      <c r="AF224" s="2"/>
      <c r="AG224" s="222"/>
      <c r="AH224" s="2"/>
      <c r="AI224" s="2"/>
      <c r="AJ224" s="2"/>
      <c r="AK224" s="2"/>
      <c r="AL224" s="2"/>
      <c r="AM224" s="2"/>
      <c r="AN224" s="2"/>
      <c r="AO224" s="2"/>
      <c r="AP224" s="2"/>
      <c r="AQ224" s="2"/>
      <c r="AR224" s="2"/>
      <c r="AS224" s="2"/>
    </row>
    <row r="225" spans="1:45" x14ac:dyDescent="0.25">
      <c r="A225" s="2"/>
      <c r="B225" s="2"/>
      <c r="C225" s="2"/>
      <c r="D225" s="2"/>
      <c r="E225" s="2"/>
      <c r="F225" s="222"/>
      <c r="G225" s="2"/>
      <c r="H225" s="222"/>
      <c r="I225" s="222"/>
      <c r="J225" s="222"/>
      <c r="K225" s="222"/>
      <c r="L225" s="222"/>
      <c r="M225" s="222"/>
      <c r="N225" s="222"/>
      <c r="O225" s="222"/>
      <c r="P225" s="2"/>
      <c r="Q225" s="222"/>
      <c r="R225" s="2"/>
      <c r="S225" s="222"/>
      <c r="T225" s="2"/>
      <c r="U225" s="222"/>
      <c r="V225" s="2"/>
      <c r="W225" s="222"/>
      <c r="X225" s="2"/>
      <c r="Y225" s="222"/>
      <c r="Z225" s="2"/>
      <c r="AA225" s="222"/>
      <c r="AB225" s="2"/>
      <c r="AC225" s="222"/>
      <c r="AD225" s="2"/>
      <c r="AE225" s="222"/>
      <c r="AF225" s="2"/>
      <c r="AG225" s="222"/>
      <c r="AH225" s="2"/>
      <c r="AI225" s="2"/>
      <c r="AJ225" s="2"/>
      <c r="AK225" s="2"/>
      <c r="AL225" s="2"/>
      <c r="AM225" s="2"/>
      <c r="AN225" s="2"/>
      <c r="AO225" s="2"/>
      <c r="AP225" s="2"/>
      <c r="AQ225" s="2"/>
      <c r="AR225" s="2"/>
      <c r="AS225" s="2"/>
    </row>
    <row r="226" spans="1:45" x14ac:dyDescent="0.25">
      <c r="A226" s="2"/>
      <c r="B226" s="2"/>
      <c r="C226" s="2"/>
      <c r="D226" s="2"/>
      <c r="E226" s="2"/>
      <c r="F226" s="222"/>
      <c r="G226" s="2"/>
      <c r="H226" s="222"/>
      <c r="I226" s="222"/>
      <c r="J226" s="222"/>
      <c r="K226" s="222"/>
      <c r="L226" s="222"/>
      <c r="M226" s="222"/>
      <c r="N226" s="222"/>
      <c r="O226" s="222"/>
      <c r="P226" s="2"/>
      <c r="Q226" s="222"/>
      <c r="R226" s="2"/>
      <c r="S226" s="222"/>
      <c r="T226" s="2"/>
      <c r="U226" s="222"/>
      <c r="V226" s="2"/>
      <c r="W226" s="222"/>
      <c r="X226" s="2"/>
      <c r="Y226" s="222"/>
      <c r="Z226" s="2"/>
      <c r="AA226" s="222"/>
      <c r="AB226" s="2"/>
      <c r="AC226" s="222"/>
      <c r="AD226" s="2"/>
      <c r="AE226" s="222"/>
      <c r="AF226" s="2"/>
      <c r="AG226" s="222"/>
      <c r="AH226" s="2"/>
      <c r="AI226" s="2"/>
      <c r="AJ226" s="2"/>
      <c r="AK226" s="2"/>
      <c r="AL226" s="2"/>
      <c r="AM226" s="2"/>
      <c r="AN226" s="2"/>
      <c r="AO226" s="2"/>
      <c r="AP226" s="2"/>
      <c r="AQ226" s="2"/>
      <c r="AR226" s="2"/>
      <c r="AS226" s="2"/>
    </row>
    <row r="227" spans="1:45" x14ac:dyDescent="0.25">
      <c r="A227" s="2"/>
      <c r="B227" s="2"/>
      <c r="C227" s="2"/>
      <c r="D227" s="2"/>
      <c r="E227" s="2"/>
      <c r="F227" s="222"/>
      <c r="G227" s="2"/>
      <c r="H227" s="222"/>
      <c r="I227" s="222"/>
      <c r="J227" s="222"/>
      <c r="K227" s="222"/>
      <c r="L227" s="222"/>
      <c r="M227" s="222"/>
      <c r="N227" s="222"/>
      <c r="O227" s="222"/>
      <c r="P227" s="2"/>
      <c r="Q227" s="222"/>
      <c r="R227" s="2"/>
      <c r="S227" s="222"/>
      <c r="T227" s="2"/>
      <c r="U227" s="222"/>
      <c r="V227" s="2"/>
      <c r="W227" s="222"/>
      <c r="X227" s="2"/>
      <c r="Y227" s="222"/>
      <c r="Z227" s="2"/>
      <c r="AA227" s="222"/>
      <c r="AB227" s="2"/>
      <c r="AC227" s="222"/>
      <c r="AD227" s="2"/>
      <c r="AE227" s="222"/>
      <c r="AF227" s="2"/>
      <c r="AG227" s="222"/>
      <c r="AH227" s="2"/>
      <c r="AI227" s="2"/>
      <c r="AJ227" s="2"/>
      <c r="AK227" s="2"/>
      <c r="AL227" s="2"/>
      <c r="AM227" s="2"/>
      <c r="AN227" s="2"/>
      <c r="AO227" s="2"/>
      <c r="AP227" s="2"/>
      <c r="AQ227" s="2"/>
      <c r="AR227" s="2"/>
      <c r="AS227" s="2"/>
    </row>
    <row r="228" spans="1:45" x14ac:dyDescent="0.25">
      <c r="A228" s="2"/>
      <c r="B228" s="2"/>
      <c r="C228" s="2"/>
      <c r="D228" s="2"/>
      <c r="E228" s="2"/>
      <c r="F228" s="222"/>
      <c r="G228" s="2"/>
      <c r="H228" s="222"/>
      <c r="I228" s="222"/>
      <c r="J228" s="222"/>
      <c r="K228" s="222"/>
      <c r="L228" s="222"/>
      <c r="M228" s="222"/>
      <c r="N228" s="222"/>
      <c r="O228" s="222"/>
      <c r="P228" s="2"/>
      <c r="Q228" s="222"/>
      <c r="R228" s="2"/>
      <c r="S228" s="222"/>
      <c r="T228" s="2"/>
      <c r="U228" s="222"/>
      <c r="V228" s="2"/>
      <c r="W228" s="222"/>
      <c r="X228" s="2"/>
      <c r="Y228" s="222"/>
      <c r="Z228" s="2"/>
      <c r="AA228" s="222"/>
      <c r="AB228" s="2"/>
      <c r="AC228" s="222"/>
      <c r="AD228" s="2"/>
      <c r="AE228" s="222"/>
      <c r="AF228" s="2"/>
      <c r="AG228" s="222"/>
      <c r="AH228" s="2"/>
      <c r="AI228" s="2"/>
      <c r="AJ228" s="2"/>
      <c r="AK228" s="2"/>
      <c r="AL228" s="2"/>
      <c r="AM228" s="2"/>
      <c r="AN228" s="2"/>
      <c r="AO228" s="2"/>
      <c r="AP228" s="2"/>
      <c r="AQ228" s="2"/>
      <c r="AR228" s="2"/>
      <c r="AS228" s="2"/>
    </row>
    <row r="229" spans="1:45" x14ac:dyDescent="0.25">
      <c r="A229" s="2"/>
      <c r="B229" s="2"/>
      <c r="C229" s="2"/>
      <c r="D229" s="2"/>
      <c r="E229" s="2"/>
      <c r="F229" s="222"/>
      <c r="G229" s="2"/>
      <c r="H229" s="222"/>
      <c r="I229" s="222"/>
      <c r="J229" s="222"/>
      <c r="K229" s="222"/>
      <c r="L229" s="222"/>
      <c r="M229" s="222"/>
      <c r="N229" s="222"/>
      <c r="O229" s="222"/>
      <c r="P229" s="2"/>
      <c r="Q229" s="222"/>
      <c r="R229" s="2"/>
      <c r="S229" s="222"/>
      <c r="T229" s="2"/>
      <c r="U229" s="222"/>
      <c r="V229" s="2"/>
      <c r="W229" s="222"/>
      <c r="X229" s="2"/>
      <c r="Y229" s="222"/>
      <c r="Z229" s="2"/>
      <c r="AA229" s="222"/>
      <c r="AB229" s="2"/>
      <c r="AC229" s="222"/>
      <c r="AD229" s="2"/>
      <c r="AE229" s="222"/>
      <c r="AF229" s="2"/>
      <c r="AG229" s="222"/>
      <c r="AH229" s="2"/>
      <c r="AI229" s="2"/>
      <c r="AJ229" s="2"/>
      <c r="AK229" s="2"/>
      <c r="AL229" s="2"/>
      <c r="AM229" s="2"/>
      <c r="AN229" s="2"/>
      <c r="AO229" s="2"/>
      <c r="AP229" s="2"/>
      <c r="AQ229" s="2"/>
      <c r="AR229" s="2"/>
      <c r="AS229" s="2"/>
    </row>
    <row r="230" spans="1:45" x14ac:dyDescent="0.25">
      <c r="A230" s="2"/>
      <c r="B230" s="2"/>
      <c r="C230" s="2"/>
      <c r="D230" s="2"/>
      <c r="E230" s="2"/>
      <c r="F230" s="222"/>
      <c r="G230" s="2"/>
      <c r="H230" s="222"/>
      <c r="I230" s="222"/>
      <c r="J230" s="222"/>
      <c r="K230" s="222"/>
      <c r="L230" s="222"/>
      <c r="M230" s="222"/>
      <c r="N230" s="222"/>
      <c r="O230" s="222"/>
      <c r="P230" s="2"/>
      <c r="Q230" s="222"/>
      <c r="R230" s="2"/>
      <c r="S230" s="222"/>
      <c r="T230" s="2"/>
      <c r="U230" s="222"/>
      <c r="V230" s="2"/>
      <c r="W230" s="222"/>
      <c r="X230" s="2"/>
      <c r="Y230" s="222"/>
      <c r="Z230" s="2"/>
      <c r="AA230" s="222"/>
      <c r="AB230" s="2"/>
      <c r="AC230" s="222"/>
      <c r="AD230" s="2"/>
      <c r="AE230" s="222"/>
      <c r="AF230" s="2"/>
      <c r="AG230" s="222"/>
      <c r="AH230" s="2"/>
      <c r="AI230" s="2"/>
      <c r="AJ230" s="2"/>
      <c r="AK230" s="2"/>
      <c r="AL230" s="2"/>
      <c r="AM230" s="2"/>
      <c r="AN230" s="2"/>
      <c r="AO230" s="2"/>
      <c r="AP230" s="2"/>
      <c r="AQ230" s="2"/>
      <c r="AR230" s="2"/>
      <c r="AS230" s="2"/>
    </row>
    <row r="231" spans="1:45" x14ac:dyDescent="0.25">
      <c r="A231" s="2"/>
      <c r="B231" s="2"/>
      <c r="C231" s="2"/>
      <c r="D231" s="2"/>
      <c r="E231" s="2"/>
      <c r="F231" s="222"/>
      <c r="G231" s="2"/>
      <c r="H231" s="222"/>
      <c r="I231" s="222"/>
      <c r="J231" s="222"/>
      <c r="K231" s="222"/>
      <c r="L231" s="222"/>
      <c r="M231" s="222"/>
      <c r="N231" s="222"/>
      <c r="O231" s="222"/>
      <c r="P231" s="2"/>
      <c r="Q231" s="222"/>
      <c r="R231" s="2"/>
      <c r="S231" s="222"/>
      <c r="T231" s="2"/>
      <c r="U231" s="222"/>
      <c r="V231" s="2"/>
      <c r="W231" s="222"/>
      <c r="X231" s="2"/>
      <c r="Y231" s="222"/>
      <c r="Z231" s="2"/>
      <c r="AA231" s="222"/>
      <c r="AB231" s="2"/>
      <c r="AC231" s="222"/>
      <c r="AD231" s="2"/>
      <c r="AE231" s="222"/>
      <c r="AF231" s="2"/>
      <c r="AG231" s="222"/>
      <c r="AH231" s="2"/>
      <c r="AI231" s="2"/>
      <c r="AJ231" s="2"/>
      <c r="AK231" s="2"/>
      <c r="AL231" s="2"/>
      <c r="AM231" s="2"/>
      <c r="AN231" s="2"/>
      <c r="AO231" s="2"/>
      <c r="AP231" s="2"/>
      <c r="AQ231" s="2"/>
      <c r="AR231" s="2"/>
      <c r="AS231" s="2"/>
    </row>
    <row r="232" spans="1:45" x14ac:dyDescent="0.25">
      <c r="A232" s="2"/>
      <c r="B232" s="2"/>
      <c r="C232" s="2"/>
      <c r="D232" s="2"/>
      <c r="E232" s="2"/>
      <c r="F232" s="222"/>
      <c r="G232" s="2"/>
      <c r="H232" s="222"/>
      <c r="I232" s="222"/>
      <c r="J232" s="222"/>
      <c r="K232" s="222"/>
      <c r="L232" s="222"/>
      <c r="M232" s="222"/>
      <c r="N232" s="222"/>
      <c r="O232" s="222"/>
      <c r="P232" s="2"/>
      <c r="Q232" s="222"/>
      <c r="R232" s="2"/>
      <c r="S232" s="222"/>
      <c r="T232" s="2"/>
      <c r="U232" s="222"/>
      <c r="V232" s="2"/>
      <c r="W232" s="222"/>
      <c r="X232" s="2"/>
      <c r="Y232" s="222"/>
      <c r="Z232" s="2"/>
      <c r="AA232" s="222"/>
      <c r="AB232" s="2"/>
      <c r="AC232" s="222"/>
      <c r="AD232" s="2"/>
      <c r="AE232" s="222"/>
      <c r="AF232" s="2"/>
      <c r="AG232" s="222"/>
      <c r="AH232" s="2"/>
      <c r="AI232" s="2"/>
      <c r="AJ232" s="2"/>
      <c r="AK232" s="2"/>
      <c r="AL232" s="2"/>
      <c r="AM232" s="2"/>
      <c r="AN232" s="2"/>
      <c r="AO232" s="2"/>
      <c r="AP232" s="2"/>
      <c r="AQ232" s="2"/>
      <c r="AR232" s="2"/>
      <c r="AS232" s="2"/>
    </row>
    <row r="233" spans="1:45" x14ac:dyDescent="0.25">
      <c r="A233" s="2"/>
      <c r="B233" s="2"/>
      <c r="C233" s="2"/>
      <c r="D233" s="2"/>
      <c r="E233" s="2"/>
      <c r="F233" s="222"/>
      <c r="G233" s="2"/>
      <c r="H233" s="222"/>
      <c r="I233" s="222"/>
      <c r="J233" s="222"/>
      <c r="K233" s="222"/>
      <c r="L233" s="222"/>
      <c r="M233" s="222"/>
      <c r="N233" s="222"/>
      <c r="O233" s="222"/>
      <c r="P233" s="2"/>
      <c r="Q233" s="222"/>
      <c r="R233" s="2"/>
      <c r="S233" s="222"/>
      <c r="T233" s="2"/>
      <c r="U233" s="222"/>
      <c r="V233" s="2"/>
      <c r="W233" s="222"/>
      <c r="X233" s="2"/>
      <c r="Y233" s="222"/>
      <c r="Z233" s="2"/>
      <c r="AA233" s="222"/>
      <c r="AB233" s="2"/>
      <c r="AC233" s="222"/>
      <c r="AD233" s="2"/>
      <c r="AE233" s="222"/>
      <c r="AF233" s="2"/>
      <c r="AG233" s="222"/>
      <c r="AH233" s="2"/>
      <c r="AI233" s="2"/>
      <c r="AJ233" s="2"/>
      <c r="AK233" s="2"/>
      <c r="AL233" s="2"/>
      <c r="AM233" s="2"/>
      <c r="AN233" s="2"/>
      <c r="AO233" s="2"/>
      <c r="AP233" s="2"/>
      <c r="AQ233" s="2"/>
      <c r="AR233" s="2"/>
      <c r="AS233" s="2"/>
    </row>
    <row r="234" spans="1:45" x14ac:dyDescent="0.25">
      <c r="A234" s="2"/>
      <c r="B234" s="2"/>
      <c r="C234" s="2"/>
      <c r="D234" s="2"/>
      <c r="E234" s="2"/>
      <c r="F234" s="222"/>
      <c r="G234" s="2"/>
      <c r="H234" s="222"/>
      <c r="I234" s="222"/>
      <c r="J234" s="222"/>
      <c r="K234" s="222"/>
      <c r="L234" s="222"/>
      <c r="M234" s="222"/>
      <c r="N234" s="222"/>
      <c r="O234" s="222"/>
      <c r="P234" s="2"/>
      <c r="Q234" s="222"/>
      <c r="R234" s="2"/>
      <c r="S234" s="222"/>
      <c r="T234" s="2"/>
      <c r="U234" s="222"/>
      <c r="V234" s="2"/>
      <c r="W234" s="222"/>
      <c r="X234" s="2"/>
      <c r="Y234" s="222"/>
      <c r="Z234" s="2"/>
      <c r="AA234" s="222"/>
      <c r="AB234" s="2"/>
      <c r="AC234" s="222"/>
      <c r="AD234" s="2"/>
      <c r="AE234" s="222"/>
      <c r="AF234" s="2"/>
      <c r="AG234" s="222"/>
      <c r="AH234" s="2"/>
      <c r="AI234" s="2"/>
      <c r="AJ234" s="2"/>
      <c r="AK234" s="2"/>
      <c r="AL234" s="2"/>
      <c r="AM234" s="2"/>
      <c r="AN234" s="2"/>
      <c r="AO234" s="2"/>
      <c r="AP234" s="2"/>
      <c r="AQ234" s="2"/>
      <c r="AR234" s="2"/>
      <c r="AS234" s="2"/>
    </row>
    <row r="235" spans="1:45" x14ac:dyDescent="0.25">
      <c r="A235" s="2"/>
      <c r="B235" s="2"/>
      <c r="C235" s="2"/>
      <c r="D235" s="2"/>
      <c r="E235" s="2"/>
      <c r="F235" s="222"/>
      <c r="G235" s="2"/>
      <c r="H235" s="222"/>
      <c r="I235" s="222"/>
      <c r="J235" s="222"/>
      <c r="K235" s="222"/>
      <c r="L235" s="222"/>
      <c r="M235" s="222"/>
      <c r="N235" s="222"/>
      <c r="O235" s="222"/>
      <c r="P235" s="2"/>
      <c r="Q235" s="222"/>
      <c r="R235" s="2"/>
      <c r="S235" s="222"/>
      <c r="T235" s="2"/>
      <c r="U235" s="222"/>
      <c r="V235" s="2"/>
      <c r="W235" s="222"/>
      <c r="X235" s="2"/>
      <c r="Y235" s="222"/>
      <c r="Z235" s="2"/>
      <c r="AA235" s="222"/>
      <c r="AB235" s="2"/>
      <c r="AC235" s="222"/>
      <c r="AD235" s="2"/>
      <c r="AE235" s="222"/>
      <c r="AF235" s="2"/>
      <c r="AG235" s="222"/>
      <c r="AH235" s="2"/>
      <c r="AI235" s="2"/>
      <c r="AJ235" s="2"/>
      <c r="AK235" s="2"/>
      <c r="AL235" s="2"/>
      <c r="AM235" s="2"/>
      <c r="AN235" s="2"/>
      <c r="AO235" s="2"/>
      <c r="AP235" s="2"/>
      <c r="AQ235" s="2"/>
      <c r="AR235" s="2"/>
      <c r="AS235" s="2"/>
    </row>
    <row r="236" spans="1:45" x14ac:dyDescent="0.25">
      <c r="A236" s="2"/>
      <c r="B236" s="2"/>
      <c r="C236" s="2"/>
      <c r="D236" s="2"/>
      <c r="E236" s="2"/>
      <c r="F236" s="222"/>
      <c r="G236" s="2"/>
      <c r="H236" s="222"/>
      <c r="I236" s="222"/>
      <c r="J236" s="222"/>
      <c r="K236" s="222"/>
      <c r="L236" s="222"/>
      <c r="M236" s="222"/>
      <c r="N236" s="222"/>
      <c r="O236" s="222"/>
      <c r="P236" s="2"/>
      <c r="Q236" s="222"/>
      <c r="R236" s="2"/>
      <c r="S236" s="222"/>
      <c r="T236" s="2"/>
      <c r="U236" s="222"/>
      <c r="V236" s="2"/>
      <c r="W236" s="222"/>
      <c r="X236" s="2"/>
      <c r="Y236" s="222"/>
      <c r="Z236" s="2"/>
      <c r="AA236" s="222"/>
      <c r="AB236" s="2"/>
      <c r="AC236" s="222"/>
      <c r="AD236" s="2"/>
      <c r="AE236" s="222"/>
      <c r="AF236" s="2"/>
      <c r="AG236" s="222"/>
      <c r="AH236" s="2"/>
      <c r="AI236" s="2"/>
      <c r="AJ236" s="2"/>
      <c r="AK236" s="2"/>
      <c r="AL236" s="2"/>
      <c r="AM236" s="2"/>
      <c r="AN236" s="2"/>
      <c r="AO236" s="2"/>
      <c r="AP236" s="2"/>
      <c r="AQ236" s="2"/>
      <c r="AR236" s="2"/>
      <c r="AS236" s="2"/>
    </row>
    <row r="237" spans="1:45" x14ac:dyDescent="0.25">
      <c r="A237" s="2"/>
      <c r="B237" s="2"/>
      <c r="C237" s="2"/>
      <c r="D237" s="2"/>
      <c r="E237" s="2"/>
      <c r="F237" s="222"/>
      <c r="G237" s="2"/>
      <c r="H237" s="222"/>
      <c r="I237" s="222"/>
      <c r="J237" s="222"/>
      <c r="K237" s="222"/>
      <c r="L237" s="222"/>
      <c r="M237" s="222"/>
      <c r="N237" s="222"/>
      <c r="O237" s="222"/>
      <c r="P237" s="2"/>
      <c r="Q237" s="222"/>
      <c r="R237" s="2"/>
      <c r="S237" s="222"/>
      <c r="T237" s="2"/>
      <c r="U237" s="222"/>
      <c r="V237" s="2"/>
      <c r="W237" s="222"/>
      <c r="X237" s="2"/>
      <c r="Y237" s="222"/>
      <c r="Z237" s="2"/>
      <c r="AA237" s="222"/>
      <c r="AB237" s="2"/>
      <c r="AC237" s="222"/>
      <c r="AD237" s="2"/>
      <c r="AE237" s="222"/>
      <c r="AF237" s="2"/>
      <c r="AG237" s="222"/>
      <c r="AH237" s="2"/>
      <c r="AI237" s="2"/>
      <c r="AJ237" s="2"/>
      <c r="AK237" s="2"/>
      <c r="AL237" s="2"/>
      <c r="AM237" s="2"/>
      <c r="AN237" s="2"/>
      <c r="AO237" s="2"/>
      <c r="AP237" s="2"/>
      <c r="AQ237" s="2"/>
      <c r="AR237" s="2"/>
      <c r="AS237" s="2"/>
    </row>
    <row r="238" spans="1:45" x14ac:dyDescent="0.25">
      <c r="A238" s="2"/>
      <c r="B238" s="2"/>
      <c r="C238" s="2"/>
      <c r="D238" s="2"/>
      <c r="E238" s="2"/>
      <c r="F238" s="222"/>
      <c r="G238" s="2"/>
      <c r="H238" s="222"/>
      <c r="I238" s="222"/>
      <c r="J238" s="222"/>
      <c r="K238" s="222"/>
      <c r="L238" s="222"/>
      <c r="M238" s="222"/>
      <c r="N238" s="222"/>
      <c r="O238" s="222"/>
      <c r="P238" s="2"/>
      <c r="Q238" s="222"/>
      <c r="R238" s="2"/>
      <c r="S238" s="222"/>
      <c r="T238" s="2"/>
      <c r="U238" s="222"/>
      <c r="V238" s="2"/>
      <c r="W238" s="222"/>
      <c r="X238" s="2"/>
      <c r="Y238" s="222"/>
      <c r="Z238" s="2"/>
      <c r="AA238" s="222"/>
      <c r="AB238" s="2"/>
      <c r="AC238" s="222"/>
      <c r="AD238" s="2"/>
      <c r="AE238" s="222"/>
      <c r="AF238" s="2"/>
      <c r="AG238" s="222"/>
      <c r="AH238" s="2"/>
      <c r="AI238" s="2"/>
      <c r="AJ238" s="2"/>
      <c r="AK238" s="2"/>
      <c r="AL238" s="2"/>
      <c r="AM238" s="2"/>
      <c r="AN238" s="2"/>
      <c r="AO238" s="2"/>
      <c r="AP238" s="2"/>
      <c r="AQ238" s="2"/>
      <c r="AR238" s="2"/>
      <c r="AS238" s="2"/>
    </row>
  </sheetData>
  <mergeCells count="1">
    <mergeCell ref="D29:H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5"/>
  <sheetViews>
    <sheetView zoomScale="130" zoomScaleNormal="130" workbookViewId="0">
      <selection activeCell="F4" sqref="F4"/>
    </sheetView>
  </sheetViews>
  <sheetFormatPr defaultColWidth="9.140625" defaultRowHeight="15.75" x14ac:dyDescent="0.25"/>
  <cols>
    <col min="1" max="1" width="10" style="2" customWidth="1"/>
    <col min="2" max="2" width="13.42578125" style="2" customWidth="1"/>
    <col min="3" max="3" width="14.140625" style="2" customWidth="1"/>
    <col min="4" max="4" width="9.140625" style="2" customWidth="1"/>
    <col min="5" max="5" width="10" style="2" customWidth="1"/>
    <col min="6" max="6" width="13.42578125" style="2" customWidth="1"/>
    <col min="7" max="7" width="13" style="2" customWidth="1"/>
    <col min="8" max="8" width="9.140625" style="2"/>
    <col min="9" max="9" width="12.42578125" style="2" bestFit="1" customWidth="1"/>
    <col min="10" max="10" width="9.140625" style="2"/>
    <col min="11" max="11" width="15.140625" style="2" customWidth="1"/>
    <col min="12" max="13" width="13.85546875" style="2" bestFit="1" customWidth="1"/>
    <col min="14" max="14" width="19.85546875" style="2" customWidth="1"/>
    <col min="15" max="15" width="22.28515625" style="2" customWidth="1"/>
    <col min="16" max="16" width="11.5703125" style="2" customWidth="1"/>
    <col min="17" max="17" width="11.7109375" style="2" customWidth="1"/>
    <col min="18" max="18" width="9.85546875" style="2" bestFit="1" customWidth="1"/>
    <col min="19" max="21" width="9.140625" style="2"/>
    <col min="22" max="22" width="23.5703125" style="2" customWidth="1"/>
    <col min="23" max="16384" width="9.140625" style="2"/>
  </cols>
  <sheetData>
    <row r="1" spans="1:17" ht="21.75" thickBot="1" x14ac:dyDescent="0.4">
      <c r="A1" s="738" t="s">
        <v>317</v>
      </c>
      <c r="B1" s="738"/>
      <c r="C1" s="738"/>
      <c r="D1" s="738"/>
      <c r="E1" s="738"/>
      <c r="F1" s="738"/>
      <c r="G1" s="738"/>
      <c r="K1" s="3"/>
      <c r="L1" s="4"/>
      <c r="M1" s="4"/>
      <c r="N1" s="4"/>
      <c r="O1" s="4"/>
      <c r="P1" s="4"/>
    </row>
    <row r="2" spans="1:17" x14ac:dyDescent="0.25">
      <c r="D2" s="5" t="s">
        <v>143</v>
      </c>
      <c r="E2" s="5" t="s">
        <v>144</v>
      </c>
      <c r="F2" s="6" t="s">
        <v>4</v>
      </c>
      <c r="G2" s="6" t="s">
        <v>16</v>
      </c>
      <c r="H2" s="7"/>
      <c r="I2" s="2" t="s">
        <v>515</v>
      </c>
      <c r="K2" s="3"/>
      <c r="L2" s="3"/>
      <c r="M2" s="8"/>
      <c r="N2" s="8"/>
      <c r="O2" s="8"/>
      <c r="P2" s="8"/>
    </row>
    <row r="3" spans="1:17" ht="15" customHeight="1" x14ac:dyDescent="0.25">
      <c r="A3" s="3" t="s">
        <v>318</v>
      </c>
      <c r="B3" s="4"/>
      <c r="C3" s="4"/>
      <c r="D3" s="4"/>
      <c r="E3" s="4"/>
      <c r="F3" s="9"/>
      <c r="G3" s="9"/>
      <c r="H3" s="10"/>
      <c r="I3" s="2" t="s">
        <v>516</v>
      </c>
      <c r="K3" s="4"/>
      <c r="L3" s="4"/>
      <c r="M3" s="11"/>
      <c r="N3" s="12"/>
      <c r="O3" s="12"/>
      <c r="P3" s="13"/>
    </row>
    <row r="4" spans="1:17" ht="18" customHeight="1" thickBot="1" x14ac:dyDescent="0.3">
      <c r="B4" s="14" t="s">
        <v>319</v>
      </c>
      <c r="D4" s="15" t="s">
        <v>320</v>
      </c>
      <c r="E4" s="16">
        <f>pennycress_yield</f>
        <v>1600</v>
      </c>
      <c r="F4" s="17">
        <f>BE_PC_Price</f>
        <v>0.108</v>
      </c>
      <c r="G4" s="18">
        <f>E4*F4</f>
        <v>172.8</v>
      </c>
      <c r="H4" s="13"/>
      <c r="I4" s="2" t="s">
        <v>517</v>
      </c>
      <c r="K4" s="4"/>
      <c r="L4" s="4"/>
      <c r="M4" s="11"/>
      <c r="N4" s="12"/>
      <c r="O4" s="12"/>
      <c r="P4" s="13"/>
    </row>
    <row r="5" spans="1:17" ht="16.5" thickBot="1" x14ac:dyDescent="0.3">
      <c r="A5" s="19"/>
      <c r="B5" s="20"/>
      <c r="C5" s="20"/>
      <c r="D5" s="20"/>
      <c r="E5" s="20"/>
      <c r="F5" s="21" t="s">
        <v>151</v>
      </c>
      <c r="G5" s="22">
        <f>SUM(G4:G4)</f>
        <v>172.8</v>
      </c>
      <c r="H5" s="23"/>
      <c r="I5" s="2" t="s">
        <v>518</v>
      </c>
      <c r="K5" s="4"/>
      <c r="L5" s="4"/>
      <c r="M5" s="11"/>
      <c r="N5" s="12"/>
    </row>
    <row r="6" spans="1:17" ht="18" x14ac:dyDescent="0.25">
      <c r="A6" s="14" t="s">
        <v>332</v>
      </c>
      <c r="B6" s="15"/>
      <c r="D6" s="15"/>
      <c r="E6" s="15"/>
      <c r="F6" s="18"/>
      <c r="G6" s="18"/>
      <c r="H6" s="15"/>
      <c r="I6" s="2" t="s">
        <v>519</v>
      </c>
      <c r="K6" s="9"/>
      <c r="L6" s="9"/>
      <c r="M6" s="9"/>
      <c r="N6" s="24"/>
    </row>
    <row r="7" spans="1:17" ht="18" customHeight="1" x14ac:dyDescent="0.25">
      <c r="B7" s="25" t="s">
        <v>334</v>
      </c>
      <c r="C7" s="25"/>
      <c r="D7" s="15" t="s">
        <v>320</v>
      </c>
      <c r="E7" s="15">
        <f>q_seed</f>
        <v>5</v>
      </c>
      <c r="F7" s="18">
        <f>p_seed</f>
        <v>2.5</v>
      </c>
      <c r="G7" s="26">
        <f>E7*F7</f>
        <v>12.5</v>
      </c>
      <c r="H7" s="27"/>
      <c r="I7" s="2" t="s">
        <v>520</v>
      </c>
      <c r="K7" s="28"/>
      <c r="L7" s="29"/>
      <c r="M7" s="30"/>
      <c r="N7" s="12"/>
    </row>
    <row r="8" spans="1:17" ht="18" x14ac:dyDescent="0.25">
      <c r="B8" s="25" t="s">
        <v>335</v>
      </c>
      <c r="C8" s="25"/>
      <c r="D8" s="15" t="s">
        <v>123</v>
      </c>
      <c r="E8" s="15">
        <v>1</v>
      </c>
      <c r="F8" s="18">
        <f>Management!E21</f>
        <v>22</v>
      </c>
      <c r="G8" s="26">
        <f>E8*F8</f>
        <v>22</v>
      </c>
      <c r="H8" s="27"/>
      <c r="I8" s="31"/>
      <c r="K8" s="28"/>
      <c r="L8" s="29"/>
      <c r="M8" s="11"/>
      <c r="N8" s="12"/>
    </row>
    <row r="9" spans="1:17" ht="18" customHeight="1" x14ac:dyDescent="0.25">
      <c r="B9" s="25" t="s">
        <v>336</v>
      </c>
      <c r="C9" s="25"/>
      <c r="D9" s="15" t="s">
        <v>123</v>
      </c>
      <c r="E9" s="15">
        <v>1</v>
      </c>
      <c r="F9" s="18">
        <f>Management!H32</f>
        <v>0</v>
      </c>
      <c r="G9" s="26">
        <f>E9*F9</f>
        <v>0</v>
      </c>
      <c r="H9" s="28"/>
      <c r="I9" s="31"/>
      <c r="K9" s="28"/>
      <c r="L9" s="29"/>
      <c r="M9" s="4"/>
      <c r="N9" s="12"/>
    </row>
    <row r="10" spans="1:17" ht="18" customHeight="1" x14ac:dyDescent="0.25">
      <c r="B10" s="25" t="s">
        <v>337</v>
      </c>
      <c r="C10" s="25"/>
      <c r="D10" s="15" t="s">
        <v>123</v>
      </c>
      <c r="E10" s="15">
        <v>1</v>
      </c>
      <c r="F10" s="18">
        <f>Establishment!G21+Management!G42+'Harvest &amp; Transportation'!G19</f>
        <v>26.696258653986206</v>
      </c>
      <c r="G10" s="26">
        <f t="shared" ref="G10:G12" si="0">E10*F10</f>
        <v>26.696258653986206</v>
      </c>
      <c r="H10" s="28"/>
      <c r="I10" s="31"/>
      <c r="K10" s="28"/>
      <c r="L10" s="29"/>
      <c r="M10" s="4"/>
      <c r="N10" s="4"/>
    </row>
    <row r="11" spans="1:17" ht="18" customHeight="1" x14ac:dyDescent="0.25">
      <c r="B11" s="25" t="s">
        <v>338</v>
      </c>
      <c r="C11" s="25"/>
      <c r="D11" s="15" t="s">
        <v>123</v>
      </c>
      <c r="E11" s="15">
        <v>1</v>
      </c>
      <c r="F11" s="18">
        <f>Establishment!H21+Management!H42+'Harvest &amp; Transportation'!H19</f>
        <v>18.24850792715484</v>
      </c>
      <c r="G11" s="26">
        <f t="shared" si="0"/>
        <v>18.24850792715484</v>
      </c>
      <c r="H11" s="28"/>
      <c r="I11" s="31"/>
      <c r="K11" s="28"/>
      <c r="L11" s="29"/>
      <c r="M11" s="32"/>
      <c r="N11" s="8"/>
    </row>
    <row r="12" spans="1:17" ht="18" customHeight="1" x14ac:dyDescent="0.25">
      <c r="B12" s="25" t="s">
        <v>339</v>
      </c>
      <c r="C12" s="25"/>
      <c r="D12" s="15" t="s">
        <v>123</v>
      </c>
      <c r="E12" s="15">
        <v>1</v>
      </c>
      <c r="F12" s="18">
        <f>Establishment!I21+Management!I42+'Harvest &amp; Transportation'!I19</f>
        <v>11.495121000986602</v>
      </c>
      <c r="G12" s="26">
        <f t="shared" si="0"/>
        <v>11.495121000986602</v>
      </c>
      <c r="H12" s="28"/>
      <c r="I12" s="31"/>
      <c r="K12" s="28"/>
      <c r="L12" s="29"/>
      <c r="M12" s="33"/>
      <c r="N12" s="11"/>
    </row>
    <row r="13" spans="1:17" ht="18" customHeight="1" x14ac:dyDescent="0.25">
      <c r="B13" s="34" t="s">
        <v>340</v>
      </c>
      <c r="C13" s="34"/>
      <c r="D13" s="15" t="s">
        <v>123</v>
      </c>
      <c r="E13" s="15">
        <v>1</v>
      </c>
      <c r="F13" s="18">
        <v>0</v>
      </c>
      <c r="G13" s="26">
        <f>E13*F13</f>
        <v>0</v>
      </c>
      <c r="H13" s="28"/>
      <c r="I13" s="31"/>
      <c r="K13" s="28"/>
      <c r="L13" s="29"/>
      <c r="M13" s="33"/>
      <c r="N13" s="11"/>
    </row>
    <row r="14" spans="1:17" ht="18" x14ac:dyDescent="0.25">
      <c r="B14" s="34" t="s">
        <v>341</v>
      </c>
      <c r="C14" s="34"/>
      <c r="D14" s="15" t="s">
        <v>123</v>
      </c>
      <c r="E14" s="15">
        <v>1</v>
      </c>
      <c r="F14" s="18">
        <v>0</v>
      </c>
      <c r="G14" s="26">
        <f>E14*F14</f>
        <v>0</v>
      </c>
      <c r="H14" s="28"/>
      <c r="K14" s="28"/>
      <c r="L14" s="29"/>
      <c r="M14" s="29"/>
      <c r="N14" s="11"/>
      <c r="O14" s="11"/>
      <c r="P14" s="11"/>
      <c r="Q14" s="12"/>
    </row>
    <row r="15" spans="1:17" ht="18.75" thickBot="1" x14ac:dyDescent="0.3">
      <c r="B15" s="34" t="s">
        <v>342</v>
      </c>
      <c r="C15" s="34"/>
      <c r="D15" s="15" t="s">
        <v>123</v>
      </c>
      <c r="E15" s="18">
        <f>SUM(G7:G14)</f>
        <v>90.939887582127639</v>
      </c>
      <c r="F15" s="35">
        <f>nom_interest</f>
        <v>0.06</v>
      </c>
      <c r="G15" s="26">
        <f>E15*F15/2</f>
        <v>2.728196627463829</v>
      </c>
      <c r="H15" s="28"/>
      <c r="I15" s="36"/>
      <c r="K15" s="28"/>
      <c r="L15" s="29"/>
      <c r="M15" s="29"/>
      <c r="N15" s="11"/>
      <c r="O15" s="11"/>
      <c r="P15" s="11"/>
      <c r="Q15" s="12"/>
    </row>
    <row r="16" spans="1:17" ht="18" customHeight="1" x14ac:dyDescent="0.25">
      <c r="A16" s="37"/>
      <c r="B16" s="38"/>
      <c r="C16" s="38"/>
      <c r="D16" s="38"/>
      <c r="E16" s="38"/>
      <c r="F16" s="39" t="s">
        <v>164</v>
      </c>
      <c r="G16" s="40">
        <f>SUM(G7:G15)</f>
        <v>93.66808420959147</v>
      </c>
      <c r="H16" s="28"/>
      <c r="I16" s="41"/>
      <c r="K16" s="28"/>
      <c r="L16" s="29"/>
      <c r="M16" s="33"/>
      <c r="N16" s="11"/>
    </row>
    <row r="17" spans="1:19" ht="18" customHeight="1" thickBot="1" x14ac:dyDescent="0.3">
      <c r="A17" s="739" t="s">
        <v>165</v>
      </c>
      <c r="B17" s="740"/>
      <c r="C17" s="740"/>
      <c r="D17" s="740"/>
      <c r="E17" s="740"/>
      <c r="F17" s="740"/>
      <c r="G17" s="725">
        <f>G5-G16</f>
        <v>79.131915790408542</v>
      </c>
      <c r="H17" s="8"/>
      <c r="I17" s="43"/>
      <c r="K17" s="28"/>
      <c r="L17" s="29"/>
      <c r="M17" s="30"/>
      <c r="N17" s="11"/>
    </row>
    <row r="18" spans="1:19" ht="18" customHeight="1" x14ac:dyDescent="0.25">
      <c r="A18" s="3" t="s">
        <v>333</v>
      </c>
      <c r="B18" s="4"/>
      <c r="C18" s="4"/>
      <c r="D18" s="44"/>
      <c r="E18" s="44"/>
      <c r="F18" s="45"/>
      <c r="G18" s="45"/>
      <c r="H18" s="46"/>
      <c r="I18" s="47"/>
      <c r="K18" s="28"/>
      <c r="L18" s="29"/>
      <c r="M18" s="48"/>
      <c r="N18" s="11"/>
      <c r="S18" s="49"/>
    </row>
    <row r="19" spans="1:19" ht="18" x14ac:dyDescent="0.25">
      <c r="B19" s="34" t="s">
        <v>343</v>
      </c>
      <c r="C19" s="34"/>
      <c r="F19" s="50"/>
      <c r="G19" s="50"/>
      <c r="H19" s="44"/>
      <c r="I19" s="51"/>
      <c r="K19" s="28"/>
      <c r="L19" s="29"/>
      <c r="M19" s="30"/>
      <c r="N19" s="11"/>
      <c r="S19" s="49"/>
    </row>
    <row r="20" spans="1:19" x14ac:dyDescent="0.25">
      <c r="B20" s="52" t="s">
        <v>316</v>
      </c>
      <c r="C20" s="52"/>
      <c r="D20" s="15" t="s">
        <v>123</v>
      </c>
      <c r="E20" s="15">
        <v>1</v>
      </c>
      <c r="F20" s="18">
        <f>Establishment!E21+Management!E42+'Harvest &amp; Transportation'!E19</f>
        <v>29.625031232352924</v>
      </c>
      <c r="G20" s="18">
        <f>E20*F20</f>
        <v>29.625031232352924</v>
      </c>
      <c r="K20" s="28"/>
      <c r="L20" s="29"/>
      <c r="M20" s="53"/>
      <c r="N20" s="4"/>
      <c r="S20" s="49"/>
    </row>
    <row r="21" spans="1:19" x14ac:dyDescent="0.25">
      <c r="B21" s="52" t="s">
        <v>239</v>
      </c>
      <c r="C21" s="52"/>
      <c r="D21" s="15" t="s">
        <v>123</v>
      </c>
      <c r="E21" s="15">
        <v>1</v>
      </c>
      <c r="F21" s="18">
        <f>Establishment!F21+Management!F42+'Harvest &amp; Transportation'!F19</f>
        <v>5.4977398041260832</v>
      </c>
      <c r="G21" s="18">
        <f>E21*F21</f>
        <v>5.4977398041260832</v>
      </c>
      <c r="H21" s="28"/>
      <c r="I21" s="31"/>
      <c r="K21" s="3"/>
      <c r="L21" s="54"/>
      <c r="M21" s="54"/>
      <c r="N21" s="4"/>
      <c r="S21" s="49"/>
    </row>
    <row r="22" spans="1:19" ht="18" x14ac:dyDescent="0.25">
      <c r="B22" s="34" t="s">
        <v>344</v>
      </c>
      <c r="C22" s="34"/>
      <c r="D22" s="15" t="s">
        <v>123</v>
      </c>
      <c r="E22" s="15">
        <v>1</v>
      </c>
      <c r="F22" s="18">
        <v>0</v>
      </c>
      <c r="G22" s="18">
        <f>E22*F22</f>
        <v>0</v>
      </c>
      <c r="H22" s="28"/>
      <c r="I22" s="31"/>
      <c r="K22" s="3"/>
      <c r="L22" s="54"/>
      <c r="M22" s="54"/>
      <c r="N22" s="4"/>
      <c r="S22" s="49"/>
    </row>
    <row r="23" spans="1:19" ht="18.75" thickBot="1" x14ac:dyDescent="0.3">
      <c r="B23" s="34" t="s">
        <v>345</v>
      </c>
      <c r="D23" s="15" t="s">
        <v>123</v>
      </c>
      <c r="E23" s="15">
        <v>1</v>
      </c>
      <c r="F23" s="18">
        <v>0</v>
      </c>
      <c r="G23" s="18">
        <f>E23*F23</f>
        <v>0</v>
      </c>
      <c r="H23" s="28"/>
      <c r="I23" s="31"/>
      <c r="K23" s="3"/>
      <c r="L23" s="3"/>
      <c r="M23" s="3"/>
      <c r="N23" s="3"/>
      <c r="S23" s="49"/>
    </row>
    <row r="24" spans="1:19" x14ac:dyDescent="0.25">
      <c r="A24" s="37"/>
      <c r="B24" s="38"/>
      <c r="C24" s="38"/>
      <c r="D24" s="38"/>
      <c r="E24" s="38"/>
      <c r="F24" s="39" t="s">
        <v>453</v>
      </c>
      <c r="G24" s="40">
        <f>SUM(G20:G22)</f>
        <v>35.122771036479008</v>
      </c>
      <c r="H24" s="55"/>
      <c r="I24" s="31"/>
      <c r="K24" s="4"/>
      <c r="L24" s="4"/>
      <c r="M24" s="4"/>
      <c r="N24" s="11"/>
      <c r="S24" s="49"/>
    </row>
    <row r="25" spans="1:19" ht="16.5" thickBot="1" x14ac:dyDescent="0.3">
      <c r="A25" s="56"/>
      <c r="B25" s="151"/>
      <c r="C25" s="151"/>
      <c r="D25" s="151"/>
      <c r="E25" s="151"/>
      <c r="F25" s="150" t="s">
        <v>454</v>
      </c>
      <c r="G25" s="42">
        <f>G16+G24</f>
        <v>128.79085524607046</v>
      </c>
      <c r="H25" s="8"/>
      <c r="I25" s="57"/>
      <c r="K25" s="4"/>
      <c r="L25" s="4"/>
      <c r="M25" s="4"/>
      <c r="N25" s="4"/>
      <c r="O25" s="11"/>
      <c r="P25" s="11"/>
      <c r="Q25" s="12"/>
    </row>
    <row r="26" spans="1:19" ht="16.5" thickBot="1" x14ac:dyDescent="0.3">
      <c r="A26" s="58"/>
      <c r="B26" s="58"/>
      <c r="C26" s="58"/>
      <c r="D26" s="58"/>
      <c r="E26" s="58"/>
      <c r="F26" s="59" t="s">
        <v>326</v>
      </c>
      <c r="G26" s="724">
        <f>G5-G16-G24</f>
        <v>44.009144753929533</v>
      </c>
      <c r="H26" s="8"/>
      <c r="I26" s="60"/>
      <c r="K26" s="4"/>
      <c r="L26" s="4"/>
      <c r="M26" s="4"/>
      <c r="N26" s="4"/>
      <c r="O26" s="11"/>
      <c r="P26" s="11"/>
      <c r="Q26" s="12"/>
    </row>
    <row r="27" spans="1:19" ht="18" customHeight="1" thickTop="1" x14ac:dyDescent="0.25">
      <c r="A27" s="34" t="s">
        <v>513</v>
      </c>
      <c r="H27" s="61"/>
      <c r="I27" s="23"/>
      <c r="O27" s="11"/>
      <c r="P27" s="11"/>
      <c r="Q27" s="12"/>
    </row>
    <row r="28" spans="1:19" ht="18" customHeight="1" x14ac:dyDescent="0.25">
      <c r="A28" s="33" t="s">
        <v>514</v>
      </c>
      <c r="B28" s="497"/>
      <c r="C28" s="497"/>
      <c r="D28" s="497"/>
      <c r="E28" s="497"/>
      <c r="F28" s="497"/>
      <c r="G28" s="506"/>
      <c r="H28" s="61"/>
      <c r="I28" s="23"/>
      <c r="O28" s="11"/>
      <c r="P28" s="11"/>
      <c r="Q28" s="12"/>
    </row>
    <row r="29" spans="1:19" ht="18" customHeight="1" x14ac:dyDescent="0.25">
      <c r="A29" s="33"/>
      <c r="B29" s="497"/>
      <c r="C29" s="497"/>
      <c r="D29" s="497"/>
      <c r="E29" s="497"/>
      <c r="F29" s="497"/>
      <c r="G29" s="506"/>
      <c r="H29" s="61"/>
      <c r="I29" s="23"/>
      <c r="O29" s="11"/>
      <c r="P29" s="11"/>
      <c r="Q29" s="12"/>
    </row>
    <row r="30" spans="1:19" ht="18" customHeight="1" thickBot="1" x14ac:dyDescent="0.3">
      <c r="A30" s="746" t="s">
        <v>329</v>
      </c>
      <c r="B30" s="746"/>
      <c r="C30" s="746"/>
      <c r="D30" s="8"/>
      <c r="E30" s="746" t="s">
        <v>330</v>
      </c>
      <c r="F30" s="746"/>
      <c r="G30" s="746"/>
      <c r="H30" s="61"/>
      <c r="I30" s="23"/>
      <c r="O30" s="11"/>
      <c r="P30" s="11"/>
      <c r="Q30" s="12"/>
    </row>
    <row r="31" spans="1:19" ht="18" customHeight="1" thickBot="1" x14ac:dyDescent="0.3">
      <c r="A31" s="8" t="s">
        <v>299</v>
      </c>
      <c r="B31" s="747" t="s">
        <v>321</v>
      </c>
      <c r="C31" s="747"/>
      <c r="D31" s="8"/>
      <c r="E31" s="8" t="s">
        <v>299</v>
      </c>
      <c r="F31" s="747" t="s">
        <v>321</v>
      </c>
      <c r="G31" s="747"/>
      <c r="K31" s="62"/>
      <c r="L31" s="62"/>
      <c r="M31" s="62"/>
      <c r="N31" s="62"/>
      <c r="O31" s="11"/>
      <c r="P31" s="13"/>
      <c r="Q31" s="13"/>
      <c r="S31" s="63"/>
    </row>
    <row r="32" spans="1:19" x14ac:dyDescent="0.25">
      <c r="A32" s="64" t="s">
        <v>240</v>
      </c>
      <c r="B32" s="11" t="s">
        <v>322</v>
      </c>
      <c r="C32" s="11" t="s">
        <v>323</v>
      </c>
      <c r="D32" s="8"/>
      <c r="E32" s="8" t="s">
        <v>4</v>
      </c>
      <c r="F32" s="11" t="s">
        <v>322</v>
      </c>
      <c r="G32" s="11" t="s">
        <v>323</v>
      </c>
      <c r="M32" s="11"/>
      <c r="N32" s="13"/>
      <c r="O32" s="13"/>
      <c r="Q32" s="63"/>
    </row>
    <row r="33" spans="1:16" ht="16.5" thickBot="1" x14ac:dyDescent="0.3">
      <c r="A33" s="65" t="s">
        <v>324</v>
      </c>
      <c r="B33" s="66" t="s">
        <v>325</v>
      </c>
      <c r="C33" s="66" t="s">
        <v>272</v>
      </c>
      <c r="E33" s="67" t="s">
        <v>325</v>
      </c>
      <c r="F33" s="66" t="s">
        <v>244</v>
      </c>
      <c r="G33" s="66" t="s">
        <v>324</v>
      </c>
      <c r="L33" s="11"/>
      <c r="M33" s="13"/>
      <c r="N33" s="13"/>
      <c r="P33" s="63"/>
    </row>
    <row r="34" spans="1:16" x14ac:dyDescent="0.25">
      <c r="A34" s="16">
        <f>A38*0.5</f>
        <v>800</v>
      </c>
      <c r="B34" s="68">
        <f t="shared" ref="B34:B42" si="1">$G$16/A34</f>
        <v>0.11708510526198934</v>
      </c>
      <c r="C34" s="68">
        <f t="shared" ref="C34:C42" si="2">($G$16+$G$24)/A34</f>
        <v>0.16098856905758807</v>
      </c>
      <c r="D34" s="15"/>
      <c r="E34" s="69">
        <f>E38*0.5</f>
        <v>5.3999999999999999E-2</v>
      </c>
      <c r="F34" s="70">
        <f t="shared" ref="F34:F42" si="3">+$G$16/E34</f>
        <v>1734.5941520294716</v>
      </c>
      <c r="G34" s="70">
        <f>+($G$16+$G$24)/E34</f>
        <v>2385.0158378901938</v>
      </c>
      <c r="L34" s="11"/>
      <c r="M34" s="13"/>
      <c r="N34" s="13"/>
      <c r="P34" s="63"/>
    </row>
    <row r="35" spans="1:16" x14ac:dyDescent="0.25">
      <c r="A35" s="16">
        <f>A38*0.625</f>
        <v>1000</v>
      </c>
      <c r="B35" s="68">
        <f t="shared" si="1"/>
        <v>9.3668084209591468E-2</v>
      </c>
      <c r="C35" s="68">
        <f t="shared" si="2"/>
        <v>0.12879085524607045</v>
      </c>
      <c r="D35" s="15"/>
      <c r="E35" s="69">
        <f>E38*0.625</f>
        <v>6.7500000000000004E-2</v>
      </c>
      <c r="F35" s="71">
        <f t="shared" si="3"/>
        <v>1387.6753216235772</v>
      </c>
      <c r="G35" s="71">
        <f>+($G$16+$G$24)/E35</f>
        <v>1908.0126703121548</v>
      </c>
      <c r="L35" s="4"/>
      <c r="M35" s="11"/>
      <c r="N35" s="12"/>
      <c r="P35" s="63"/>
    </row>
    <row r="36" spans="1:16" x14ac:dyDescent="0.25">
      <c r="A36" s="16">
        <f>A38*0.75</f>
        <v>1200</v>
      </c>
      <c r="B36" s="68">
        <f t="shared" si="1"/>
        <v>7.8056736841326219E-2</v>
      </c>
      <c r="C36" s="68">
        <f t="shared" si="2"/>
        <v>0.10732571270505872</v>
      </c>
      <c r="D36" s="15"/>
      <c r="E36" s="69">
        <f>E38*0.75</f>
        <v>8.1000000000000003E-2</v>
      </c>
      <c r="F36" s="71">
        <f t="shared" si="3"/>
        <v>1156.3961013529811</v>
      </c>
      <c r="G36" s="71">
        <f>+($G$16+$G$24)/E36</f>
        <v>1590.0105585934625</v>
      </c>
      <c r="L36" s="4"/>
      <c r="M36" s="4"/>
      <c r="N36" s="4"/>
    </row>
    <row r="37" spans="1:16" x14ac:dyDescent="0.25">
      <c r="A37" s="16">
        <f>A38*0.875</f>
        <v>1400</v>
      </c>
      <c r="B37" s="68">
        <f t="shared" si="1"/>
        <v>6.6905774435422477E-2</v>
      </c>
      <c r="C37" s="68">
        <f t="shared" si="2"/>
        <v>9.1993468032907477E-2</v>
      </c>
      <c r="D37" s="15"/>
      <c r="E37" s="69">
        <f>E38*0.875</f>
        <v>9.4500000000000001E-2</v>
      </c>
      <c r="F37" s="71">
        <f t="shared" si="3"/>
        <v>991.19665830255519</v>
      </c>
      <c r="G37" s="71">
        <f>+($G$16+$G$24)/E37</f>
        <v>1362.8661930801106</v>
      </c>
      <c r="L37" s="72"/>
      <c r="M37" s="8"/>
      <c r="N37" s="8"/>
    </row>
    <row r="38" spans="1:16" x14ac:dyDescent="0.25">
      <c r="A38" s="73">
        <f>E4</f>
        <v>1600</v>
      </c>
      <c r="B38" s="74">
        <f t="shared" si="1"/>
        <v>5.8542552630994671E-2</v>
      </c>
      <c r="C38" s="74">
        <f t="shared" si="2"/>
        <v>8.0494284528794036E-2</v>
      </c>
      <c r="D38" s="75"/>
      <c r="E38" s="76">
        <f>F4</f>
        <v>0.108</v>
      </c>
      <c r="F38" s="77">
        <f t="shared" si="3"/>
        <v>867.29707601473581</v>
      </c>
      <c r="G38" s="77">
        <f>($G$16+$G$24)/E38</f>
        <v>1192.5079189450969</v>
      </c>
      <c r="L38" s="11"/>
      <c r="M38" s="12"/>
      <c r="N38" s="12"/>
    </row>
    <row r="39" spans="1:16" x14ac:dyDescent="0.25">
      <c r="A39" s="16">
        <f>A38*1.125</f>
        <v>1800</v>
      </c>
      <c r="B39" s="68">
        <f t="shared" si="1"/>
        <v>5.2037824560884148E-2</v>
      </c>
      <c r="C39" s="68">
        <f t="shared" si="2"/>
        <v>7.1550475136705816E-2</v>
      </c>
      <c r="D39" s="15"/>
      <c r="E39" s="69">
        <f>E38*1.125</f>
        <v>0.1215</v>
      </c>
      <c r="F39" s="71">
        <f t="shared" si="3"/>
        <v>770.93073423532076</v>
      </c>
      <c r="G39" s="71">
        <f>($G$16+$G$24)/E39</f>
        <v>1060.0070390623084</v>
      </c>
      <c r="L39" s="11"/>
      <c r="M39" s="12"/>
      <c r="N39" s="12"/>
    </row>
    <row r="40" spans="1:16" x14ac:dyDescent="0.25">
      <c r="A40" s="16">
        <f>A38*1.25</f>
        <v>2000</v>
      </c>
      <c r="B40" s="68">
        <f t="shared" si="1"/>
        <v>4.6834042104795734E-2</v>
      </c>
      <c r="C40" s="68">
        <f t="shared" si="2"/>
        <v>6.4395427623035226E-2</v>
      </c>
      <c r="D40" s="15"/>
      <c r="E40" s="69">
        <f>E38*1.25</f>
        <v>0.13500000000000001</v>
      </c>
      <c r="F40" s="71">
        <f t="shared" si="3"/>
        <v>693.83766081178862</v>
      </c>
      <c r="G40" s="71">
        <f>($G$16+$G$24)/E40</f>
        <v>954.0063351560774</v>
      </c>
      <c r="L40" s="4"/>
      <c r="M40" s="12"/>
      <c r="N40" s="12"/>
    </row>
    <row r="41" spans="1:16" x14ac:dyDescent="0.25">
      <c r="A41" s="16">
        <f>A38*1.375</f>
        <v>2200</v>
      </c>
      <c r="B41" s="68">
        <f t="shared" si="1"/>
        <v>4.2576401913450669E-2</v>
      </c>
      <c r="C41" s="68">
        <f t="shared" si="2"/>
        <v>5.8541297839122937E-2</v>
      </c>
      <c r="D41" s="15"/>
      <c r="E41" s="69">
        <f>E38*1.375</f>
        <v>0.14849999999999999</v>
      </c>
      <c r="F41" s="71">
        <f t="shared" si="3"/>
        <v>630.76150982889885</v>
      </c>
      <c r="G41" s="71">
        <f>($G$16+$G$24)/E41</f>
        <v>867.27848650552505</v>
      </c>
    </row>
    <row r="42" spans="1:16" ht="16.5" thickBot="1" x14ac:dyDescent="0.3">
      <c r="A42" s="78">
        <f>A38*1.5</f>
        <v>2400</v>
      </c>
      <c r="B42" s="79">
        <f t="shared" si="1"/>
        <v>3.9028368420663109E-2</v>
      </c>
      <c r="C42" s="79">
        <f t="shared" si="2"/>
        <v>5.3662856352529362E-2</v>
      </c>
      <c r="D42" s="15"/>
      <c r="E42" s="80">
        <f>E38*1.5</f>
        <v>0.16200000000000001</v>
      </c>
      <c r="F42" s="81">
        <f t="shared" si="3"/>
        <v>578.19805067649054</v>
      </c>
      <c r="G42" s="81">
        <f>($G$16+$G$24)/E42</f>
        <v>795.00527929673126</v>
      </c>
    </row>
    <row r="43" spans="1:16" ht="15.6" customHeight="1" x14ac:dyDescent="0.25">
      <c r="A43" s="34" t="s">
        <v>513</v>
      </c>
      <c r="B43" s="82"/>
      <c r="C43" s="82"/>
      <c r="E43" s="82"/>
      <c r="F43" s="82"/>
      <c r="G43" s="82"/>
      <c r="O43" s="62"/>
    </row>
    <row r="44" spans="1:16" x14ac:dyDescent="0.25">
      <c r="A44" s="34" t="s">
        <v>514</v>
      </c>
      <c r="B44" s="83"/>
      <c r="C44" s="83"/>
      <c r="E44" s="83"/>
      <c r="F44" s="83"/>
      <c r="G44" s="83"/>
      <c r="O44" s="62"/>
    </row>
    <row r="45" spans="1:16" x14ac:dyDescent="0.25">
      <c r="A45" s="34"/>
      <c r="B45" s="83"/>
      <c r="C45" s="83"/>
      <c r="E45" s="83"/>
      <c r="F45" s="83"/>
      <c r="G45" s="83"/>
      <c r="O45" s="62"/>
    </row>
    <row r="46" spans="1:16" ht="16.5" thickBot="1" x14ac:dyDescent="0.3">
      <c r="A46" s="742" t="s">
        <v>350</v>
      </c>
      <c r="B46" s="742"/>
      <c r="C46" s="742"/>
      <c r="D46" s="742"/>
      <c r="E46" s="742"/>
      <c r="F46" s="742"/>
      <c r="G46" s="742"/>
      <c r="O46" s="62"/>
    </row>
    <row r="47" spans="1:16" ht="16.5" thickBot="1" x14ac:dyDescent="0.3">
      <c r="A47" s="743" t="s">
        <v>327</v>
      </c>
      <c r="B47" s="84"/>
      <c r="C47" s="84"/>
      <c r="D47" s="84"/>
      <c r="E47" s="84" t="s">
        <v>328</v>
      </c>
      <c r="F47" s="84"/>
      <c r="G47" s="85"/>
      <c r="O47" s="62"/>
    </row>
    <row r="48" spans="1:16" ht="16.5" thickBot="1" x14ac:dyDescent="0.3">
      <c r="A48" s="744"/>
      <c r="B48" s="86"/>
      <c r="C48" s="87">
        <f>E48*0.5</f>
        <v>5.3999999999999999E-2</v>
      </c>
      <c r="D48" s="87">
        <f>E48*0.75</f>
        <v>8.1000000000000003E-2</v>
      </c>
      <c r="E48" s="696">
        <f>F4</f>
        <v>0.108</v>
      </c>
      <c r="F48" s="87">
        <f>E48*1.25</f>
        <v>0.13500000000000001</v>
      </c>
      <c r="G48" s="88">
        <f>E48*1.5</f>
        <v>0.16200000000000001</v>
      </c>
      <c r="O48" s="62"/>
    </row>
    <row r="49" spans="1:15" x14ac:dyDescent="0.25">
      <c r="A49" s="744"/>
      <c r="B49" s="89"/>
      <c r="C49" s="90"/>
      <c r="D49" s="87"/>
      <c r="E49" s="91" t="s">
        <v>331</v>
      </c>
      <c r="F49" s="87"/>
      <c r="G49" s="88"/>
      <c r="O49" s="62"/>
    </row>
    <row r="50" spans="1:15" x14ac:dyDescent="0.25">
      <c r="A50" s="744"/>
      <c r="B50" s="92">
        <f>B54*0.5</f>
        <v>800</v>
      </c>
      <c r="C50" s="93">
        <f t="shared" ref="C50:G58" si="4">C$48*$B50-$G$25</f>
        <v>-85.590855246070461</v>
      </c>
      <c r="D50" s="94">
        <f t="shared" si="4"/>
        <v>-63.990855246070467</v>
      </c>
      <c r="E50" s="94">
        <f t="shared" si="4"/>
        <v>-42.390855246070458</v>
      </c>
      <c r="F50" s="94">
        <f t="shared" si="4"/>
        <v>-20.790855246070464</v>
      </c>
      <c r="G50" s="95">
        <f t="shared" si="4"/>
        <v>0.80914475392953022</v>
      </c>
      <c r="O50" s="62"/>
    </row>
    <row r="51" spans="1:15" x14ac:dyDescent="0.25">
      <c r="A51" s="744"/>
      <c r="B51" s="92">
        <f>B54*0.625</f>
        <v>1000</v>
      </c>
      <c r="C51" s="93">
        <f t="shared" si="4"/>
        <v>-74.790855246070464</v>
      </c>
      <c r="D51" s="94">
        <f t="shared" si="4"/>
        <v>-47.790855246070464</v>
      </c>
      <c r="E51" s="94">
        <f t="shared" si="4"/>
        <v>-20.790855246070464</v>
      </c>
      <c r="F51" s="94">
        <f t="shared" si="4"/>
        <v>6.2091447539295359</v>
      </c>
      <c r="G51" s="95">
        <f t="shared" si="4"/>
        <v>33.209144753929536</v>
      </c>
      <c r="O51" s="62"/>
    </row>
    <row r="52" spans="1:15" x14ac:dyDescent="0.25">
      <c r="A52" s="744"/>
      <c r="B52" s="92">
        <f>B54*0.75</f>
        <v>1200</v>
      </c>
      <c r="C52" s="93">
        <f t="shared" si="4"/>
        <v>-63.990855246070467</v>
      </c>
      <c r="D52" s="94">
        <f t="shared" si="4"/>
        <v>-31.590855246070461</v>
      </c>
      <c r="E52" s="94">
        <f t="shared" si="4"/>
        <v>0.80914475392953022</v>
      </c>
      <c r="F52" s="94">
        <f t="shared" si="4"/>
        <v>33.209144753929536</v>
      </c>
      <c r="G52" s="95">
        <f t="shared" si="4"/>
        <v>65.609144753929542</v>
      </c>
      <c r="O52" s="62"/>
    </row>
    <row r="53" spans="1:15" x14ac:dyDescent="0.25">
      <c r="A53" s="744"/>
      <c r="B53" s="92">
        <f>B54*0.875</f>
        <v>1400</v>
      </c>
      <c r="C53" s="93">
        <f t="shared" si="4"/>
        <v>-53.19085524607047</v>
      </c>
      <c r="D53" s="94">
        <f t="shared" si="4"/>
        <v>-15.390855246070458</v>
      </c>
      <c r="E53" s="94">
        <f t="shared" si="4"/>
        <v>22.409144753929525</v>
      </c>
      <c r="F53" s="94">
        <f t="shared" si="4"/>
        <v>60.209144753929536</v>
      </c>
      <c r="G53" s="95">
        <f t="shared" si="4"/>
        <v>98.009144753929547</v>
      </c>
      <c r="O53" s="62"/>
    </row>
    <row r="54" spans="1:15" x14ac:dyDescent="0.25">
      <c r="A54" s="744"/>
      <c r="B54" s="96">
        <f>E4</f>
        <v>1600</v>
      </c>
      <c r="C54" s="93">
        <f t="shared" si="4"/>
        <v>-42.390855246070458</v>
      </c>
      <c r="D54" s="94">
        <f t="shared" si="4"/>
        <v>0.80914475392953022</v>
      </c>
      <c r="E54" s="94">
        <f t="shared" si="4"/>
        <v>44.009144753929547</v>
      </c>
      <c r="F54" s="94">
        <f t="shared" si="4"/>
        <v>87.209144753929536</v>
      </c>
      <c r="G54" s="95">
        <f t="shared" si="4"/>
        <v>130.40914475392952</v>
      </c>
      <c r="O54" s="62"/>
    </row>
    <row r="55" spans="1:15" x14ac:dyDescent="0.25">
      <c r="A55" s="744"/>
      <c r="B55" s="92">
        <f>B54*1.125</f>
        <v>1800</v>
      </c>
      <c r="C55" s="93">
        <f t="shared" si="4"/>
        <v>-31.590855246070461</v>
      </c>
      <c r="D55" s="94">
        <f t="shared" si="4"/>
        <v>17.009144753929547</v>
      </c>
      <c r="E55" s="94">
        <f t="shared" si="4"/>
        <v>65.609144753929542</v>
      </c>
      <c r="F55" s="94">
        <f t="shared" si="4"/>
        <v>114.20914475392956</v>
      </c>
      <c r="G55" s="95">
        <f t="shared" si="4"/>
        <v>162.80914475392956</v>
      </c>
      <c r="O55" s="62"/>
    </row>
    <row r="56" spans="1:15" x14ac:dyDescent="0.25">
      <c r="A56" s="744"/>
      <c r="B56" s="92">
        <f>B54*1.25</f>
        <v>2000</v>
      </c>
      <c r="C56" s="93">
        <f t="shared" si="4"/>
        <v>-20.790855246070464</v>
      </c>
      <c r="D56" s="94">
        <f t="shared" si="4"/>
        <v>33.209144753929536</v>
      </c>
      <c r="E56" s="94">
        <f t="shared" si="4"/>
        <v>87.209144753929536</v>
      </c>
      <c r="F56" s="94">
        <f t="shared" si="4"/>
        <v>141.20914475392954</v>
      </c>
      <c r="G56" s="95">
        <f t="shared" si="4"/>
        <v>195.20914475392954</v>
      </c>
      <c r="O56" s="62"/>
    </row>
    <row r="57" spans="1:15" x14ac:dyDescent="0.25">
      <c r="A57" s="744"/>
      <c r="B57" s="92">
        <f>B54*1.375</f>
        <v>2200</v>
      </c>
      <c r="C57" s="93">
        <f t="shared" si="4"/>
        <v>-9.9908552460704669</v>
      </c>
      <c r="D57" s="94">
        <f t="shared" si="4"/>
        <v>49.409144753929553</v>
      </c>
      <c r="E57" s="94">
        <f t="shared" si="4"/>
        <v>108.80914475392953</v>
      </c>
      <c r="F57" s="94">
        <f t="shared" si="4"/>
        <v>168.20914475392954</v>
      </c>
      <c r="G57" s="95">
        <f t="shared" si="4"/>
        <v>227.60914475392957</v>
      </c>
      <c r="O57" s="62"/>
    </row>
    <row r="58" spans="1:15" ht="16.5" thickBot="1" x14ac:dyDescent="0.3">
      <c r="A58" s="745"/>
      <c r="B58" s="97">
        <f>B54*1.5</f>
        <v>2400</v>
      </c>
      <c r="C58" s="98">
        <f t="shared" si="4"/>
        <v>0.80914475392953022</v>
      </c>
      <c r="D58" s="99">
        <f t="shared" si="4"/>
        <v>65.609144753929542</v>
      </c>
      <c r="E58" s="99">
        <f t="shared" si="4"/>
        <v>130.40914475392952</v>
      </c>
      <c r="F58" s="99">
        <f t="shared" si="4"/>
        <v>195.20914475392954</v>
      </c>
      <c r="G58" s="100">
        <f t="shared" si="4"/>
        <v>260.00914475392955</v>
      </c>
      <c r="O58" s="62"/>
    </row>
    <row r="59" spans="1:15" x14ac:dyDescent="0.25">
      <c r="A59" s="34" t="s">
        <v>513</v>
      </c>
      <c r="B59" s="101"/>
      <c r="C59" s="94"/>
      <c r="D59" s="94"/>
      <c r="E59" s="94"/>
      <c r="F59" s="94"/>
      <c r="G59" s="94"/>
      <c r="O59" s="62"/>
    </row>
    <row r="60" spans="1:15" x14ac:dyDescent="0.25">
      <c r="A60" s="102" t="s">
        <v>514</v>
      </c>
      <c r="B60" s="101"/>
      <c r="C60" s="94"/>
      <c r="D60" s="94"/>
      <c r="E60" s="94"/>
      <c r="F60" s="94"/>
      <c r="G60" s="94"/>
      <c r="O60" s="62"/>
    </row>
    <row r="61" spans="1:15" x14ac:dyDescent="0.25">
      <c r="A61" s="102"/>
      <c r="B61" s="101"/>
      <c r="C61" s="94"/>
      <c r="D61" s="94"/>
      <c r="E61" s="94"/>
      <c r="F61" s="94"/>
      <c r="G61" s="94"/>
      <c r="O61" s="62"/>
    </row>
    <row r="62" spans="1:15" x14ac:dyDescent="0.25">
      <c r="A62" s="748" t="s">
        <v>521</v>
      </c>
      <c r="B62" s="748"/>
      <c r="C62" s="748"/>
      <c r="D62" s="748"/>
      <c r="E62" s="748"/>
      <c r="F62" s="748"/>
      <c r="G62" s="748"/>
      <c r="O62" s="62"/>
    </row>
    <row r="63" spans="1:15" ht="15.6" customHeight="1" x14ac:dyDescent="0.25">
      <c r="A63" s="748"/>
      <c r="B63" s="748"/>
      <c r="C63" s="748"/>
      <c r="D63" s="748"/>
      <c r="E63" s="748"/>
      <c r="F63" s="748"/>
      <c r="G63" s="748"/>
      <c r="H63" s="103"/>
      <c r="O63" s="62"/>
    </row>
    <row r="64" spans="1:15" x14ac:dyDescent="0.25">
      <c r="A64" s="748"/>
      <c r="B64" s="748"/>
      <c r="C64" s="748"/>
      <c r="D64" s="748"/>
      <c r="E64" s="748"/>
      <c r="F64" s="748"/>
      <c r="G64" s="748"/>
      <c r="H64" s="103"/>
      <c r="O64" s="62"/>
    </row>
    <row r="65" spans="1:15" x14ac:dyDescent="0.25">
      <c r="A65" s="103"/>
      <c r="B65" s="103"/>
      <c r="C65" s="103"/>
      <c r="D65" s="103"/>
      <c r="E65" s="103"/>
      <c r="F65" s="103"/>
      <c r="G65" s="103"/>
      <c r="H65" s="103"/>
      <c r="O65" s="62"/>
    </row>
    <row r="66" spans="1:15" x14ac:dyDescent="0.25">
      <c r="A66" s="102"/>
      <c r="B66" s="101"/>
      <c r="C66" s="94"/>
      <c r="D66" s="94"/>
      <c r="E66" s="94"/>
      <c r="F66" s="94"/>
      <c r="G66" s="94"/>
      <c r="O66" s="62"/>
    </row>
    <row r="67" spans="1:15" x14ac:dyDescent="0.25">
      <c r="A67" s="102"/>
      <c r="B67" s="101"/>
      <c r="C67" s="94"/>
      <c r="D67" s="94"/>
      <c r="E67" s="94"/>
      <c r="F67" s="94"/>
      <c r="G67" s="94"/>
      <c r="O67" s="62"/>
    </row>
    <row r="68" spans="1:15" x14ac:dyDescent="0.25">
      <c r="A68" s="102"/>
      <c r="B68" s="101"/>
      <c r="C68" s="94"/>
      <c r="D68" s="94"/>
      <c r="E68" s="94"/>
      <c r="F68" s="94"/>
      <c r="G68" s="94"/>
      <c r="O68" s="62"/>
    </row>
    <row r="69" spans="1:15" x14ac:dyDescent="0.25">
      <c r="A69" s="102"/>
      <c r="B69" s="101"/>
      <c r="C69" s="94"/>
      <c r="D69" s="94"/>
      <c r="E69" s="94"/>
      <c r="F69" s="94"/>
      <c r="G69" s="94"/>
      <c r="O69" s="62"/>
    </row>
    <row r="70" spans="1:15" x14ac:dyDescent="0.25">
      <c r="A70" s="102"/>
      <c r="B70" s="101"/>
      <c r="C70" s="94"/>
      <c r="D70" s="94"/>
      <c r="E70" s="94"/>
      <c r="F70" s="94"/>
      <c r="G70" s="94"/>
      <c r="O70" s="62"/>
    </row>
    <row r="71" spans="1:15" x14ac:dyDescent="0.25">
      <c r="A71" s="102"/>
      <c r="B71" s="101"/>
      <c r="C71" s="94"/>
      <c r="D71" s="94"/>
      <c r="E71" s="94"/>
      <c r="F71" s="94"/>
      <c r="G71" s="94"/>
      <c r="O71" s="62"/>
    </row>
    <row r="72" spans="1:15" x14ac:dyDescent="0.25">
      <c r="A72" s="102"/>
      <c r="B72" s="101"/>
      <c r="C72" s="94"/>
      <c r="D72" s="94"/>
      <c r="E72" s="94"/>
      <c r="F72" s="94"/>
      <c r="G72" s="94"/>
      <c r="O72" s="62"/>
    </row>
    <row r="73" spans="1:15" x14ac:dyDescent="0.25">
      <c r="A73" s="102"/>
      <c r="B73" s="101"/>
      <c r="C73" s="94"/>
      <c r="D73" s="94"/>
      <c r="E73" s="94"/>
      <c r="F73" s="94"/>
      <c r="G73" s="94"/>
      <c r="O73" s="62"/>
    </row>
    <row r="74" spans="1:15" x14ac:dyDescent="0.25">
      <c r="A74" s="102"/>
      <c r="B74" s="101"/>
      <c r="C74" s="94"/>
      <c r="D74" s="94"/>
      <c r="E74" s="94"/>
      <c r="F74" s="94"/>
      <c r="G74" s="94"/>
      <c r="O74" s="62"/>
    </row>
    <row r="75" spans="1:15" x14ac:dyDescent="0.25">
      <c r="A75" s="102"/>
      <c r="B75" s="101"/>
      <c r="C75" s="94"/>
      <c r="D75" s="94"/>
      <c r="E75" s="94"/>
      <c r="F75" s="94"/>
      <c r="G75" s="94"/>
      <c r="O75" s="62"/>
    </row>
    <row r="76" spans="1:15" ht="15.6" customHeight="1" x14ac:dyDescent="0.25">
      <c r="A76" s="102"/>
      <c r="B76" s="101"/>
      <c r="C76" s="94"/>
      <c r="D76" s="94"/>
      <c r="E76" s="94"/>
      <c r="F76" s="94"/>
      <c r="G76" s="94"/>
      <c r="O76" s="62"/>
    </row>
    <row r="77" spans="1:15" ht="15.6" customHeight="1" x14ac:dyDescent="0.25">
      <c r="A77" s="102"/>
      <c r="B77" s="101"/>
      <c r="C77" s="94"/>
      <c r="D77" s="94"/>
      <c r="E77" s="94"/>
      <c r="F77" s="94"/>
      <c r="G77" s="94"/>
      <c r="O77" s="62"/>
    </row>
    <row r="78" spans="1:15" x14ac:dyDescent="0.25">
      <c r="A78" s="102"/>
      <c r="B78" s="101"/>
      <c r="C78" s="94"/>
      <c r="D78" s="94"/>
      <c r="E78" s="94"/>
      <c r="F78" s="94"/>
      <c r="G78" s="94"/>
      <c r="O78" s="62"/>
    </row>
    <row r="79" spans="1:15" x14ac:dyDescent="0.25">
      <c r="A79" s="14" t="s">
        <v>311</v>
      </c>
      <c r="F79" s="104"/>
      <c r="G79" s="104"/>
      <c r="O79" s="62"/>
    </row>
    <row r="80" spans="1:15" ht="64.5" customHeight="1" x14ac:dyDescent="0.25">
      <c r="A80" s="736" t="s">
        <v>534</v>
      </c>
      <c r="B80" s="736"/>
      <c r="C80" s="736"/>
      <c r="D80" s="736"/>
      <c r="E80" s="736"/>
      <c r="F80" s="736"/>
      <c r="G80" s="736"/>
      <c r="H80" s="736"/>
      <c r="I80" s="736"/>
    </row>
    <row r="81" spans="1:9" ht="111" customHeight="1" x14ac:dyDescent="0.25">
      <c r="A81" s="736" t="s">
        <v>564</v>
      </c>
      <c r="B81" s="736"/>
      <c r="C81" s="736"/>
      <c r="D81" s="736"/>
      <c r="E81" s="736"/>
      <c r="F81" s="736"/>
      <c r="G81" s="736"/>
      <c r="H81" s="736"/>
      <c r="I81" s="736"/>
    </row>
    <row r="82" spans="1:9" ht="35.1" customHeight="1" x14ac:dyDescent="0.25">
      <c r="A82" s="732" t="s">
        <v>562</v>
      </c>
      <c r="B82" s="732"/>
      <c r="C82" s="732"/>
      <c r="D82" s="732"/>
      <c r="E82" s="732"/>
      <c r="F82" s="732"/>
      <c r="G82" s="732"/>
      <c r="H82" s="732"/>
      <c r="I82" s="732"/>
    </row>
    <row r="83" spans="1:9" ht="68.45" customHeight="1" x14ac:dyDescent="0.25">
      <c r="A83" s="732" t="s">
        <v>551</v>
      </c>
      <c r="B83" s="732"/>
      <c r="C83" s="732"/>
      <c r="D83" s="732"/>
      <c r="E83" s="732"/>
      <c r="F83" s="732"/>
      <c r="G83" s="732"/>
      <c r="H83" s="732"/>
      <c r="I83" s="732"/>
    </row>
    <row r="84" spans="1:9" ht="33.6" customHeight="1" x14ac:dyDescent="0.25">
      <c r="A84" s="736" t="s">
        <v>550</v>
      </c>
      <c r="B84" s="736"/>
      <c r="C84" s="736"/>
      <c r="D84" s="736"/>
      <c r="E84" s="736"/>
      <c r="F84" s="736"/>
      <c r="G84" s="736"/>
      <c r="H84" s="736"/>
      <c r="I84" s="736"/>
    </row>
    <row r="85" spans="1:9" ht="98.1" customHeight="1" x14ac:dyDescent="0.25">
      <c r="A85" s="737" t="s">
        <v>347</v>
      </c>
      <c r="B85" s="737"/>
      <c r="C85" s="737"/>
      <c r="D85" s="737"/>
      <c r="E85" s="737"/>
      <c r="F85" s="737"/>
      <c r="G85" s="737"/>
      <c r="H85" s="737"/>
      <c r="I85" s="737"/>
    </row>
    <row r="86" spans="1:9" ht="33" customHeight="1" x14ac:dyDescent="0.25">
      <c r="A86" s="736" t="s">
        <v>348</v>
      </c>
      <c r="B86" s="736"/>
      <c r="C86" s="736"/>
      <c r="D86" s="736"/>
      <c r="E86" s="736"/>
      <c r="F86" s="736"/>
      <c r="G86" s="736"/>
      <c r="H86" s="736"/>
      <c r="I86" s="736"/>
    </row>
    <row r="87" spans="1:9" ht="33" customHeight="1" x14ac:dyDescent="0.25">
      <c r="A87" s="736" t="s">
        <v>346</v>
      </c>
      <c r="B87" s="736"/>
      <c r="C87" s="736"/>
      <c r="D87" s="736"/>
      <c r="E87" s="736"/>
      <c r="F87" s="736"/>
      <c r="G87" s="736"/>
      <c r="H87" s="736"/>
      <c r="I87" s="736"/>
    </row>
    <row r="88" spans="1:9" ht="33.75" customHeight="1" x14ac:dyDescent="0.25">
      <c r="A88" s="741" t="s">
        <v>349</v>
      </c>
      <c r="B88" s="741"/>
      <c r="C88" s="741"/>
      <c r="D88" s="741"/>
      <c r="E88" s="741"/>
      <c r="F88" s="741"/>
      <c r="G88" s="741"/>
      <c r="H88" s="741"/>
      <c r="I88" s="741"/>
    </row>
    <row r="89" spans="1:9" ht="31.5" customHeight="1" x14ac:dyDescent="0.25">
      <c r="A89" s="736" t="s">
        <v>533</v>
      </c>
      <c r="B89" s="736"/>
      <c r="C89" s="736"/>
      <c r="D89" s="736"/>
      <c r="E89" s="736"/>
      <c r="F89" s="736"/>
      <c r="G89" s="736"/>
      <c r="H89" s="736"/>
      <c r="I89" s="736"/>
    </row>
    <row r="90" spans="1:9" x14ac:dyDescent="0.25">
      <c r="A90" s="735" t="s">
        <v>360</v>
      </c>
      <c r="B90" s="735"/>
      <c r="C90" s="735"/>
      <c r="D90" s="735"/>
      <c r="E90" s="735"/>
      <c r="F90" s="735"/>
      <c r="G90" s="735"/>
      <c r="H90" s="735"/>
      <c r="I90" s="735"/>
    </row>
    <row r="91" spans="1:9" x14ac:dyDescent="0.25">
      <c r="A91" s="735"/>
      <c r="B91" s="735"/>
      <c r="C91" s="735"/>
      <c r="D91" s="735"/>
      <c r="E91" s="735"/>
      <c r="F91" s="735"/>
      <c r="G91" s="735"/>
      <c r="H91" s="735"/>
      <c r="I91" s="735"/>
    </row>
    <row r="92" spans="1:9" x14ac:dyDescent="0.25">
      <c r="A92" s="152"/>
      <c r="B92" s="152"/>
      <c r="C92" s="152"/>
      <c r="D92" s="152"/>
      <c r="E92" s="152"/>
      <c r="F92" s="152"/>
      <c r="G92" s="152"/>
      <c r="H92" s="152"/>
      <c r="I92" s="152"/>
    </row>
    <row r="93" spans="1:9" x14ac:dyDescent="0.25">
      <c r="A93" s="152"/>
      <c r="B93" s="152"/>
      <c r="C93" s="152"/>
      <c r="D93" s="152"/>
      <c r="E93" s="152"/>
      <c r="F93" s="152"/>
      <c r="G93" s="152"/>
      <c r="H93" s="152"/>
      <c r="I93" s="152"/>
    </row>
    <row r="94" spans="1:9" x14ac:dyDescent="0.25">
      <c r="A94" s="152"/>
      <c r="B94" s="152"/>
      <c r="C94" s="152"/>
      <c r="D94" s="152"/>
      <c r="E94" s="152"/>
      <c r="F94" s="152"/>
      <c r="G94" s="152"/>
      <c r="H94" s="152"/>
      <c r="I94" s="152"/>
    </row>
    <row r="95" spans="1:9" x14ac:dyDescent="0.25">
      <c r="A95" s="152"/>
      <c r="B95" s="152"/>
      <c r="C95" s="152"/>
      <c r="D95" s="152"/>
      <c r="E95" s="152"/>
      <c r="F95" s="152"/>
      <c r="G95" s="152"/>
      <c r="H95" s="152"/>
      <c r="I95" s="152"/>
    </row>
  </sheetData>
  <sortState xmlns:xlrd2="http://schemas.microsoft.com/office/spreadsheetml/2017/richdata2" ref="S16:V22">
    <sortCondition ref="V16:V22"/>
  </sortState>
  <mergeCells count="20">
    <mergeCell ref="A1:G1"/>
    <mergeCell ref="A17:F17"/>
    <mergeCell ref="A88:I88"/>
    <mergeCell ref="A84:I84"/>
    <mergeCell ref="A46:G46"/>
    <mergeCell ref="A47:A58"/>
    <mergeCell ref="A30:C30"/>
    <mergeCell ref="E30:G30"/>
    <mergeCell ref="B31:C31"/>
    <mergeCell ref="F31:G31"/>
    <mergeCell ref="A87:I87"/>
    <mergeCell ref="A62:G64"/>
    <mergeCell ref="A90:I91"/>
    <mergeCell ref="A89:I89"/>
    <mergeCell ref="A80:I80"/>
    <mergeCell ref="A82:I82"/>
    <mergeCell ref="A83:I83"/>
    <mergeCell ref="A85:I85"/>
    <mergeCell ref="A86:I86"/>
    <mergeCell ref="A81:I81"/>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3"/>
  <sheetViews>
    <sheetView workbookViewId="0"/>
  </sheetViews>
  <sheetFormatPr defaultRowHeight="15" x14ac:dyDescent="0.25"/>
  <sheetData>
    <row r="1" spans="1:40" x14ac:dyDescent="0.25">
      <c r="A1">
        <v>3</v>
      </c>
      <c r="B1">
        <v>0</v>
      </c>
    </row>
    <row r="2" spans="1:40" x14ac:dyDescent="0.25">
      <c r="A2">
        <v>0</v>
      </c>
    </row>
    <row r="3" spans="1:40" x14ac:dyDescent="0.25">
      <c r="A3" s="1" t="e">
        <f>#REF!</f>
        <v>#REF!</v>
      </c>
      <c r="B3" t="b">
        <v>1</v>
      </c>
      <c r="C3">
        <v>0</v>
      </c>
      <c r="D3">
        <v>1</v>
      </c>
      <c r="E3" t="s">
        <v>300</v>
      </c>
      <c r="F3">
        <v>1</v>
      </c>
      <c r="G3">
        <v>0</v>
      </c>
      <c r="H3">
        <v>0</v>
      </c>
      <c r="J3" t="s">
        <v>255</v>
      </c>
      <c r="K3" t="s">
        <v>256</v>
      </c>
      <c r="L3" t="s">
        <v>257</v>
      </c>
      <c r="AG3" s="1" t="e">
        <f>#REF!</f>
        <v>#REF!</v>
      </c>
      <c r="AH3">
        <v>1</v>
      </c>
      <c r="AI3">
        <v>1</v>
      </c>
      <c r="AJ3" t="b">
        <v>0</v>
      </c>
      <c r="AK3" t="b">
        <v>1</v>
      </c>
      <c r="AL3">
        <v>0</v>
      </c>
      <c r="AM3" t="b">
        <v>0</v>
      </c>
      <c r="AN3" t="e">
        <f>_</f>
        <v>#NAME?</v>
      </c>
    </row>
    <row r="4" spans="1:40" x14ac:dyDescent="0.25">
      <c r="A4" t="e">
        <f>#REF!</f>
        <v>#REF!</v>
      </c>
      <c r="B4" t="b">
        <v>1</v>
      </c>
      <c r="C4">
        <v>0</v>
      </c>
      <c r="D4">
        <v>1</v>
      </c>
      <c r="E4" t="s">
        <v>302</v>
      </c>
      <c r="F4">
        <v>1</v>
      </c>
      <c r="G4">
        <v>0</v>
      </c>
      <c r="H4">
        <v>0</v>
      </c>
      <c r="J4" t="s">
        <v>255</v>
      </c>
      <c r="K4" t="s">
        <v>256</v>
      </c>
      <c r="L4" t="s">
        <v>257</v>
      </c>
      <c r="AG4" t="e">
        <f>#REF!</f>
        <v>#REF!</v>
      </c>
      <c r="AH4">
        <v>2</v>
      </c>
      <c r="AI4">
        <v>1</v>
      </c>
      <c r="AJ4" t="b">
        <v>0</v>
      </c>
      <c r="AK4" t="b">
        <v>1</v>
      </c>
      <c r="AL4">
        <v>0</v>
      </c>
      <c r="AM4" t="b">
        <v>0</v>
      </c>
      <c r="AN4" t="e">
        <f>_</f>
        <v>#NAME?</v>
      </c>
    </row>
    <row r="5" spans="1:40" x14ac:dyDescent="0.25">
      <c r="A5" t="e">
        <f>#REF!</f>
        <v>#REF!</v>
      </c>
      <c r="B5" t="b">
        <v>1</v>
      </c>
      <c r="C5">
        <v>0</v>
      </c>
      <c r="D5">
        <v>1</v>
      </c>
      <c r="E5" t="s">
        <v>301</v>
      </c>
      <c r="F5">
        <v>1</v>
      </c>
      <c r="G5">
        <v>0</v>
      </c>
      <c r="H5">
        <v>0</v>
      </c>
      <c r="J5" t="s">
        <v>255</v>
      </c>
      <c r="K5" t="s">
        <v>256</v>
      </c>
      <c r="L5" t="s">
        <v>257</v>
      </c>
      <c r="AG5" t="e">
        <f>#REF!</f>
        <v>#REF!</v>
      </c>
      <c r="AH5">
        <v>3</v>
      </c>
      <c r="AI5">
        <v>1</v>
      </c>
      <c r="AJ5" t="b">
        <v>0</v>
      </c>
      <c r="AK5" t="b">
        <v>1</v>
      </c>
      <c r="AL5">
        <v>0</v>
      </c>
      <c r="AM5" t="b">
        <v>0</v>
      </c>
      <c r="AN5" t="e">
        <f>_</f>
        <v>#NAME?</v>
      </c>
    </row>
    <row r="6" spans="1:40" x14ac:dyDescent="0.25">
      <c r="A6">
        <v>0</v>
      </c>
    </row>
    <row r="7" spans="1:40" x14ac:dyDescent="0.25">
      <c r="A7" s="1" t="b">
        <v>0</v>
      </c>
      <c r="B7">
        <v>14560</v>
      </c>
      <c r="C7">
        <v>6709.375</v>
      </c>
      <c r="D7">
        <v>10640</v>
      </c>
      <c r="E7">
        <v>0</v>
      </c>
      <c r="AG7" s="1"/>
    </row>
    <row r="8" spans="1:40" x14ac:dyDescent="0.25">
      <c r="A8" t="b">
        <v>0</v>
      </c>
      <c r="B8">
        <v>14560</v>
      </c>
      <c r="C8">
        <v>6709.375</v>
      </c>
      <c r="D8">
        <v>10640</v>
      </c>
      <c r="E8">
        <v>0</v>
      </c>
    </row>
    <row r="9" spans="1:40" x14ac:dyDescent="0.25">
      <c r="A9" t="b">
        <v>0</v>
      </c>
      <c r="B9">
        <v>14560</v>
      </c>
      <c r="C9">
        <v>6709.375</v>
      </c>
      <c r="D9">
        <v>10640</v>
      </c>
      <c r="E9">
        <v>0</v>
      </c>
    </row>
    <row r="10" spans="1:40" x14ac:dyDescent="0.25">
      <c r="A10" t="b">
        <v>0</v>
      </c>
      <c r="B10">
        <v>14560</v>
      </c>
      <c r="C10">
        <v>6709.375</v>
      </c>
      <c r="D10">
        <v>10640</v>
      </c>
      <c r="E10">
        <v>0</v>
      </c>
    </row>
    <row r="11" spans="1:40" x14ac:dyDescent="0.25">
      <c r="A11" t="b">
        <v>0</v>
      </c>
      <c r="B11">
        <v>14560</v>
      </c>
      <c r="C11">
        <v>6709.375</v>
      </c>
      <c r="D11">
        <v>10640</v>
      </c>
      <c r="E11">
        <v>0</v>
      </c>
    </row>
    <row r="12" spans="1:40" x14ac:dyDescent="0.25">
      <c r="A12">
        <v>0</v>
      </c>
    </row>
    <row r="13" spans="1:40" x14ac:dyDescent="0.25">
      <c r="A13">
        <v>0</v>
      </c>
      <c r="B13" t="b">
        <v>0</v>
      </c>
      <c r="C13" t="b">
        <v>0</v>
      </c>
      <c r="D13">
        <v>10</v>
      </c>
      <c r="E13">
        <v>0.95</v>
      </c>
      <c r="F13">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0"/>
  <sheetViews>
    <sheetView topLeftCell="A24" zoomScale="150" zoomScaleNormal="150" workbookViewId="0">
      <selection activeCell="A25" sqref="A25:D26"/>
    </sheetView>
  </sheetViews>
  <sheetFormatPr defaultColWidth="9.140625" defaultRowHeight="15" x14ac:dyDescent="0.25"/>
  <cols>
    <col min="1" max="1" width="42.5703125" style="105" customWidth="1"/>
    <col min="2" max="2" width="10.5703125" style="105" customWidth="1"/>
    <col min="3" max="3" width="8.85546875" style="105" customWidth="1"/>
    <col min="4" max="4" width="10.42578125" style="105" customWidth="1"/>
    <col min="5" max="5" width="9.140625" style="105" customWidth="1"/>
    <col min="6" max="12" width="9.140625" style="105"/>
    <col min="13" max="13" width="27.5703125" style="105" customWidth="1"/>
    <col min="14" max="14" width="10.42578125" style="105" bestFit="1" customWidth="1"/>
    <col min="15" max="17" width="9.140625" style="105"/>
    <col min="18" max="18" width="32.28515625" style="105" customWidth="1"/>
    <col min="19" max="20" width="9.140625" style="105"/>
    <col min="21" max="21" width="10.42578125" style="105" customWidth="1"/>
    <col min="22" max="16384" width="9.140625" style="105"/>
  </cols>
  <sheetData>
    <row r="1" spans="1:26" ht="14.45" customHeight="1" x14ac:dyDescent="0.25">
      <c r="A1" s="749" t="s">
        <v>522</v>
      </c>
      <c r="B1" s="749"/>
      <c r="C1" s="749"/>
      <c r="D1" s="749"/>
    </row>
    <row r="2" spans="1:26" ht="15" customHeight="1" x14ac:dyDescent="0.25">
      <c r="A2" s="749"/>
      <c r="B2" s="749"/>
      <c r="C2" s="749"/>
      <c r="D2" s="749"/>
      <c r="G2" s="106"/>
      <c r="I2" s="107"/>
    </row>
    <row r="3" spans="1:26" ht="33.950000000000003" customHeight="1" x14ac:dyDescent="0.25">
      <c r="A3" s="750"/>
      <c r="B3" s="750"/>
      <c r="C3" s="750"/>
      <c r="D3" s="750"/>
      <c r="M3" s="108" t="s">
        <v>507</v>
      </c>
      <c r="N3" s="109"/>
      <c r="O3" s="109"/>
      <c r="P3" s="109"/>
      <c r="R3" s="108" t="s">
        <v>506</v>
      </c>
      <c r="S3" s="109"/>
      <c r="T3" s="109"/>
      <c r="U3" s="109"/>
    </row>
    <row r="4" spans="1:26" ht="14.1" customHeight="1" x14ac:dyDescent="0.25">
      <c r="A4" s="12"/>
      <c r="B4" s="15"/>
      <c r="C4" s="13" t="s">
        <v>246</v>
      </c>
      <c r="D4" s="15" t="s">
        <v>247</v>
      </c>
      <c r="E4" s="2"/>
      <c r="F4" s="2"/>
      <c r="G4" s="2"/>
      <c r="H4" s="2"/>
      <c r="I4" s="2"/>
      <c r="J4" s="2"/>
      <c r="K4" s="2"/>
      <c r="L4" s="2"/>
      <c r="M4" s="12"/>
      <c r="N4" s="13" t="s">
        <v>246</v>
      </c>
      <c r="O4" s="15"/>
      <c r="P4" s="15" t="s">
        <v>247</v>
      </c>
      <c r="R4" s="2"/>
      <c r="S4" s="15" t="s">
        <v>246</v>
      </c>
      <c r="T4" s="15" t="s">
        <v>247</v>
      </c>
      <c r="U4" s="15"/>
    </row>
    <row r="5" spans="1:26" ht="15" customHeight="1" x14ac:dyDescent="0.25">
      <c r="A5" s="110" t="s">
        <v>1</v>
      </c>
      <c r="B5" s="111" t="s">
        <v>245</v>
      </c>
      <c r="C5" s="112" t="s">
        <v>254</v>
      </c>
      <c r="D5" s="111" t="s">
        <v>254</v>
      </c>
      <c r="E5" s="2"/>
      <c r="F5" s="2"/>
      <c r="G5" s="2"/>
      <c r="H5" s="2"/>
      <c r="I5" s="2"/>
      <c r="J5" s="2"/>
      <c r="K5" s="2"/>
      <c r="L5" s="2"/>
      <c r="M5" s="110" t="s">
        <v>1</v>
      </c>
      <c r="N5" s="112" t="s">
        <v>248</v>
      </c>
      <c r="O5" s="111" t="s">
        <v>245</v>
      </c>
      <c r="P5" s="111" t="s">
        <v>248</v>
      </c>
      <c r="R5" s="113" t="s">
        <v>1</v>
      </c>
      <c r="S5" s="111" t="s">
        <v>248</v>
      </c>
      <c r="T5" s="111" t="s">
        <v>248</v>
      </c>
      <c r="U5" s="111" t="s">
        <v>460</v>
      </c>
    </row>
    <row r="6" spans="1:26" ht="15" customHeight="1" x14ac:dyDescent="0.25">
      <c r="A6" s="2" t="s">
        <v>351</v>
      </c>
      <c r="B6" s="2"/>
      <c r="C6" s="114">
        <v>0.5</v>
      </c>
      <c r="D6" s="114">
        <v>1.5</v>
      </c>
      <c r="M6" s="115" t="s">
        <v>304</v>
      </c>
      <c r="N6" s="116">
        <f t="shared" ref="N6:N11" si="0">($B$16-B7+C7)/$B$13</f>
        <v>8.5977713501082659E-2</v>
      </c>
      <c r="O6" s="116">
        <f t="shared" ref="O6:O13" si="1">$B$18</f>
        <v>9.0001151001082663E-2</v>
      </c>
      <c r="P6" s="116">
        <f t="shared" ref="P6:P11" si="2">($B$16-C7+D7)/$B$13</f>
        <v>9.8048026001082658E-2</v>
      </c>
      <c r="R6" s="117" t="str">
        <f>Sensitivity!$M$9</f>
        <v>Herbicide</v>
      </c>
      <c r="S6" s="147">
        <f>Sensitivity!$N$9*100</f>
        <v>9.0001151001082658</v>
      </c>
      <c r="T6" s="147">
        <f>Sensitivity!$P$9*100</f>
        <v>9.0001151001082658</v>
      </c>
      <c r="U6" s="63">
        <f>ABS($S$6-$T$6)</f>
        <v>0</v>
      </c>
    </row>
    <row r="7" spans="1:26" ht="15" customHeight="1" x14ac:dyDescent="0.25">
      <c r="A7" s="115" t="s">
        <v>495</v>
      </c>
      <c r="B7" s="118">
        <f>Establishment!F13+Establishment!F13*nom_interest/2</f>
        <v>12.875</v>
      </c>
      <c r="C7" s="119">
        <f>$C$6*B7</f>
        <v>6.4375</v>
      </c>
      <c r="D7" s="118">
        <f>$D$6*B7</f>
        <v>19.3125</v>
      </c>
      <c r="M7" s="117" t="s">
        <v>305</v>
      </c>
      <c r="N7" s="116">
        <f t="shared" si="0"/>
        <v>7.656185891628868E-2</v>
      </c>
      <c r="O7" s="116">
        <f t="shared" si="1"/>
        <v>9.0001151001082663E-2</v>
      </c>
      <c r="P7" s="116">
        <f t="shared" si="2"/>
        <v>0.11687973517067064</v>
      </c>
      <c r="R7" s="50" t="str">
        <f>Sensitivity!$M$6</f>
        <v xml:space="preserve">Seed </v>
      </c>
      <c r="S7" s="147">
        <f>Sensitivity!$N$6*100</f>
        <v>8.5977713501082658</v>
      </c>
      <c r="T7" s="147">
        <f>Sensitivity!$P$6*100</f>
        <v>9.8048026001082658</v>
      </c>
      <c r="U7" s="63">
        <f t="shared" ref="U7:U13" si="3">ABS(S7-T7)</f>
        <v>1.20703125</v>
      </c>
    </row>
    <row r="8" spans="1:26" ht="15" customHeight="1" x14ac:dyDescent="0.25">
      <c r="A8" s="117" t="s">
        <v>498</v>
      </c>
      <c r="B8" s="118">
        <f>Establishment!K21</f>
        <v>43.005734671340761</v>
      </c>
      <c r="C8" s="119">
        <f t="shared" ref="C8:C11" si="4">$C$6*B8</f>
        <v>21.502867335670381</v>
      </c>
      <c r="D8" s="118">
        <f t="shared" ref="D8:D11" si="5">$D$6*B8</f>
        <v>64.508602007011149</v>
      </c>
      <c r="M8" s="117" t="s">
        <v>306</v>
      </c>
      <c r="N8" s="116">
        <f t="shared" si="0"/>
        <v>8.0484350840167057E-2</v>
      </c>
      <c r="O8" s="116">
        <f t="shared" si="1"/>
        <v>9.0001151001082663E-2</v>
      </c>
      <c r="P8" s="116">
        <f t="shared" si="2"/>
        <v>0.10903475132291385</v>
      </c>
      <c r="R8" s="50" t="str">
        <f>Sensitivity!$M$11</f>
        <v>Transportation</v>
      </c>
      <c r="S8" s="147">
        <f>$N$11*100</f>
        <v>8.5339967680551467</v>
      </c>
      <c r="T8" s="147">
        <f>Sensitivity!$P$11*100</f>
        <v>10.398470096267621</v>
      </c>
      <c r="U8" s="63">
        <f t="shared" si="3"/>
        <v>1.8644733282124744</v>
      </c>
      <c r="Y8" s="120"/>
    </row>
    <row r="9" spans="1:26" ht="15" customHeight="1" x14ac:dyDescent="0.25">
      <c r="A9" s="117" t="s">
        <v>497</v>
      </c>
      <c r="B9" s="118">
        <f>Management!E21+Management!E21*nom_interest/2+Management!K42</f>
        <v>30.453760514929911</v>
      </c>
      <c r="C9" s="119">
        <f t="shared" si="4"/>
        <v>15.226880257464956</v>
      </c>
      <c r="D9" s="118">
        <f t="shared" si="5"/>
        <v>45.680640772394867</v>
      </c>
      <c r="M9" s="117" t="s">
        <v>206</v>
      </c>
      <c r="N9" s="116">
        <f t="shared" si="0"/>
        <v>9.0001151001082663E-2</v>
      </c>
      <c r="O9" s="116">
        <f t="shared" si="1"/>
        <v>9.0001151001082663E-2</v>
      </c>
      <c r="P9" s="116">
        <f t="shared" si="2"/>
        <v>9.0001151001082663E-2</v>
      </c>
      <c r="R9" s="33" t="str">
        <f>$M$13</f>
        <v>Soybean revenue loss</v>
      </c>
      <c r="S9" s="147">
        <f>$N$13*100</f>
        <v>9.0001151001082658</v>
      </c>
      <c r="T9" s="147">
        <f>$P$13*100</f>
        <v>11.472615100108266</v>
      </c>
      <c r="U9" s="63">
        <f t="shared" si="3"/>
        <v>2.4725000000000001</v>
      </c>
    </row>
    <row r="10" spans="1:26" ht="15" customHeight="1" x14ac:dyDescent="0.25">
      <c r="A10" s="117" t="s">
        <v>499</v>
      </c>
      <c r="B10" s="119">
        <v>0</v>
      </c>
      <c r="C10" s="119">
        <f t="shared" si="4"/>
        <v>0</v>
      </c>
      <c r="D10" s="118">
        <f t="shared" si="5"/>
        <v>0</v>
      </c>
      <c r="M10" s="4" t="s">
        <v>66</v>
      </c>
      <c r="N10" s="116">
        <f t="shared" si="0"/>
        <v>7.6733538482395225E-2</v>
      </c>
      <c r="O10" s="116">
        <f t="shared" si="1"/>
        <v>9.0001151001082663E-2</v>
      </c>
      <c r="P10" s="116">
        <f t="shared" si="2"/>
        <v>0.11653637603845754</v>
      </c>
      <c r="R10" s="50" t="str">
        <f>Sensitivity!$M$8</f>
        <v>Fertilizer</v>
      </c>
      <c r="S10" s="147">
        <f>Sensitivity!$N$8*100</f>
        <v>8.048435084016706</v>
      </c>
      <c r="T10" s="147">
        <f>Sensitivity!$P$8*100</f>
        <v>10.903475132291385</v>
      </c>
      <c r="U10" s="63">
        <f t="shared" si="3"/>
        <v>2.8550400482746792</v>
      </c>
    </row>
    <row r="11" spans="1:26" ht="15" customHeight="1" x14ac:dyDescent="0.25">
      <c r="A11" s="4" t="s">
        <v>496</v>
      </c>
      <c r="B11" s="119">
        <f>'Harvest &amp; Transportation'!K19</f>
        <v>42.456360059799806</v>
      </c>
      <c r="C11" s="119">
        <f t="shared" si="4"/>
        <v>21.228180029899903</v>
      </c>
      <c r="D11" s="118">
        <f t="shared" si="5"/>
        <v>63.684540089699709</v>
      </c>
      <c r="M11" s="4" t="s">
        <v>307</v>
      </c>
      <c r="N11" s="116">
        <f t="shared" si="0"/>
        <v>8.5339967680551465E-2</v>
      </c>
      <c r="O11" s="116">
        <f t="shared" si="1"/>
        <v>9.0001151001082663E-2</v>
      </c>
      <c r="P11" s="116">
        <f t="shared" si="2"/>
        <v>0.10398470096267622</v>
      </c>
      <c r="R11" s="50" t="str">
        <f>Sensitivity!$M$10</f>
        <v>Harvest</v>
      </c>
      <c r="S11" s="147">
        <f>Sensitivity!$N$10*100</f>
        <v>7.6733538482395227</v>
      </c>
      <c r="T11" s="147">
        <f>Sensitivity!$P$10*100</f>
        <v>11.653637603845754</v>
      </c>
      <c r="U11" s="63">
        <f t="shared" si="3"/>
        <v>3.9802837556062309</v>
      </c>
    </row>
    <row r="12" spans="1:26" ht="15" customHeight="1" x14ac:dyDescent="0.25">
      <c r="A12" s="4" t="s">
        <v>500</v>
      </c>
      <c r="B12" s="716">
        <f>'Harvest &amp; Transportation'!C31</f>
        <v>15.210986355661785</v>
      </c>
      <c r="C12" s="716">
        <f>'Harvest &amp; Transportation'!B31</f>
        <v>7.7530930428118943</v>
      </c>
      <c r="D12" s="717">
        <f>'Harvest &amp; Transportation'!D31</f>
        <v>30.126772981361572</v>
      </c>
      <c r="M12" s="33" t="s">
        <v>310</v>
      </c>
      <c r="N12" s="116">
        <f>B16/C13</f>
        <v>0.18000230200216533</v>
      </c>
      <c r="O12" s="116">
        <f t="shared" si="1"/>
        <v>9.0001151001082663E-2</v>
      </c>
      <c r="P12" s="116">
        <f>B16/D13</f>
        <v>6.0000767334055106E-2</v>
      </c>
      <c r="R12" s="50" t="str">
        <f>Sensitivity!$M$7</f>
        <v>Establishment</v>
      </c>
      <c r="S12" s="147">
        <f>Sensitivity!$N$7*100</f>
        <v>7.6561858916288683</v>
      </c>
      <c r="T12" s="147">
        <f>Sensitivity!$P$7*100</f>
        <v>11.687973517067064</v>
      </c>
      <c r="U12" s="63">
        <f t="shared" si="3"/>
        <v>4.0317876254381959</v>
      </c>
    </row>
    <row r="13" spans="1:26" ht="15" customHeight="1" x14ac:dyDescent="0.25">
      <c r="A13" s="33" t="s">
        <v>352</v>
      </c>
      <c r="B13" s="707">
        <f>pennycress_yield</f>
        <v>1600</v>
      </c>
      <c r="C13" s="661">
        <f>$C$6*B13</f>
        <v>800</v>
      </c>
      <c r="D13" s="241">
        <f>$D$6*B13</f>
        <v>2400</v>
      </c>
      <c r="M13" s="121" t="s">
        <v>308</v>
      </c>
      <c r="N13" s="122">
        <f>($B$16-B14+C14)/$B$13</f>
        <v>9.0001151001082663E-2</v>
      </c>
      <c r="O13" s="122">
        <f t="shared" si="1"/>
        <v>9.0001151001082663E-2</v>
      </c>
      <c r="P13" s="122">
        <f>($B$16-C14+D14)/$B$13</f>
        <v>0.11472615100108266</v>
      </c>
      <c r="R13" s="123" t="str">
        <f>Sensitivity!$M$12</f>
        <v>Oilseed yield</v>
      </c>
      <c r="S13" s="148">
        <f>Sensitivity!$N$12*100</f>
        <v>18.000230200216532</v>
      </c>
      <c r="T13" s="148">
        <f>Sensitivity!$P$12*100</f>
        <v>6.0000767334055105</v>
      </c>
      <c r="U13" s="149">
        <f t="shared" si="3"/>
        <v>12.000153466811021</v>
      </c>
      <c r="Z13" s="124"/>
    </row>
    <row r="14" spans="1:26" ht="15" customHeight="1" x14ac:dyDescent="0.25">
      <c r="A14" s="33" t="s">
        <v>502</v>
      </c>
      <c r="B14" s="125">
        <v>0</v>
      </c>
      <c r="C14" s="119">
        <f>$C$6*B14</f>
        <v>0</v>
      </c>
      <c r="D14" s="118">
        <f>Soybean_price*Soybean_yield_loss</f>
        <v>39.56</v>
      </c>
      <c r="M14" s="126"/>
      <c r="N14" s="2"/>
      <c r="R14" s="105" t="s">
        <v>461</v>
      </c>
      <c r="U14" s="105" t="s">
        <v>447</v>
      </c>
    </row>
    <row r="15" spans="1:26" ht="15" customHeight="1" x14ac:dyDescent="0.25">
      <c r="A15" s="127" t="s">
        <v>503</v>
      </c>
      <c r="B15" s="128">
        <f>SUM(B7:B11,B14)</f>
        <v>128.79085524607046</v>
      </c>
      <c r="C15" s="128"/>
      <c r="D15" s="128"/>
    </row>
    <row r="16" spans="1:26" ht="15" customHeight="1" x14ac:dyDescent="0.25">
      <c r="A16" s="129" t="s">
        <v>504</v>
      </c>
      <c r="B16" s="130">
        <f>B15+B12</f>
        <v>144.00184160173225</v>
      </c>
      <c r="C16" s="130"/>
      <c r="D16" s="130"/>
      <c r="M16" s="131"/>
      <c r="N16" s="131"/>
      <c r="O16" s="131"/>
      <c r="P16" s="131"/>
      <c r="Q16" s="131"/>
      <c r="R16" s="131"/>
      <c r="S16" s="131"/>
      <c r="T16" s="131"/>
      <c r="U16" s="131"/>
    </row>
    <row r="17" spans="1:22" s="131" customFormat="1" ht="15" customHeight="1" x14ac:dyDescent="0.25">
      <c r="A17" s="102" t="s">
        <v>505</v>
      </c>
      <c r="B17" s="709">
        <f>B16/BE_PC_Price</f>
        <v>1333.3503852012245</v>
      </c>
      <c r="D17" s="132"/>
      <c r="E17" s="751" t="s">
        <v>541</v>
      </c>
      <c r="F17" s="751"/>
      <c r="G17" s="751"/>
      <c r="H17" s="751"/>
      <c r="I17" s="751"/>
      <c r="J17" s="751"/>
      <c r="K17" s="751"/>
      <c r="L17" s="751"/>
      <c r="M17" s="2" t="s">
        <v>374</v>
      </c>
      <c r="N17" s="2"/>
      <c r="O17" s="15">
        <f>BE_PC_Price</f>
        <v>0.108</v>
      </c>
      <c r="P17" s="2" t="s">
        <v>545</v>
      </c>
      <c r="Q17" s="105"/>
      <c r="R17" s="105"/>
      <c r="S17" s="105"/>
      <c r="T17" s="105"/>
      <c r="U17" s="105"/>
      <c r="V17" s="131" t="s">
        <v>309</v>
      </c>
    </row>
    <row r="18" spans="1:22" ht="15" customHeight="1" x14ac:dyDescent="0.25">
      <c r="A18" s="133" t="s">
        <v>508</v>
      </c>
      <c r="B18" s="708">
        <f>B16/pennycress_yield</f>
        <v>9.0001151001082663E-2</v>
      </c>
      <c r="C18" s="134"/>
      <c r="D18" s="134"/>
      <c r="E18" s="751"/>
      <c r="F18" s="751"/>
      <c r="G18" s="751"/>
      <c r="H18" s="751"/>
      <c r="I18" s="751"/>
      <c r="J18" s="751"/>
      <c r="K18" s="751"/>
      <c r="L18" s="751"/>
      <c r="M18" s="2" t="s">
        <v>509</v>
      </c>
      <c r="N18" s="135"/>
      <c r="O18" s="721">
        <f>B16/BE_PC_Price</f>
        <v>1333.3503852012245</v>
      </c>
      <c r="P18" s="2"/>
    </row>
    <row r="19" spans="1:22" ht="15" customHeight="1" x14ac:dyDescent="0.25">
      <c r="A19" s="105" t="s">
        <v>494</v>
      </c>
      <c r="C19" s="132"/>
      <c r="D19" s="132"/>
      <c r="E19" s="751"/>
      <c r="F19" s="751"/>
      <c r="G19" s="751"/>
      <c r="H19" s="751"/>
      <c r="I19" s="751"/>
      <c r="J19" s="751"/>
      <c r="K19" s="751"/>
      <c r="L19" s="751"/>
      <c r="M19" s="2"/>
    </row>
    <row r="20" spans="1:22" ht="16.5" customHeight="1" x14ac:dyDescent="0.25">
      <c r="A20" s="105" t="s">
        <v>501</v>
      </c>
      <c r="B20" s="130">
        <f>BE_PC_Price*pennycress_yield-B15</f>
        <v>44.009144753929547</v>
      </c>
      <c r="E20" s="751"/>
      <c r="F20" s="751"/>
      <c r="G20" s="751"/>
      <c r="H20" s="751"/>
      <c r="I20" s="751"/>
      <c r="J20" s="751"/>
      <c r="K20" s="751"/>
      <c r="L20" s="751"/>
    </row>
    <row r="21" spans="1:22" ht="15" customHeight="1" x14ac:dyDescent="0.25">
      <c r="A21" s="109" t="s">
        <v>546</v>
      </c>
      <c r="B21" s="659">
        <f>BE_PC_Price*pennycress_yield-B16</f>
        <v>28.798158398267759</v>
      </c>
      <c r="C21" s="660"/>
      <c r="D21" s="660"/>
      <c r="E21" s="131"/>
      <c r="F21" s="136"/>
      <c r="G21" s="137"/>
      <c r="H21" s="138"/>
      <c r="I21" s="131"/>
      <c r="J21" s="131"/>
      <c r="K21" s="131"/>
    </row>
    <row r="22" spans="1:22" x14ac:dyDescent="0.25">
      <c r="E22" s="131"/>
      <c r="F22" s="136"/>
      <c r="G22" s="720" t="s">
        <v>543</v>
      </c>
      <c r="H22" s="138"/>
      <c r="I22" s="131"/>
      <c r="J22" s="131"/>
      <c r="K22" s="131"/>
    </row>
    <row r="23" spans="1:22" ht="18" customHeight="1" x14ac:dyDescent="0.25">
      <c r="A23" s="754" t="s">
        <v>303</v>
      </c>
      <c r="B23" s="754"/>
      <c r="C23" s="754"/>
      <c r="D23" s="754"/>
      <c r="E23" s="140"/>
      <c r="F23" s="140"/>
      <c r="G23" s="140"/>
      <c r="I23" s="140"/>
      <c r="J23" s="140"/>
      <c r="K23" s="140"/>
    </row>
    <row r="24" spans="1:22" ht="30.6" customHeight="1" x14ac:dyDescent="0.25">
      <c r="A24" s="758" t="s">
        <v>542</v>
      </c>
      <c r="B24" s="758"/>
      <c r="C24" s="758"/>
      <c r="D24" s="758"/>
      <c r="E24" s="140"/>
      <c r="F24" s="140"/>
      <c r="G24" s="129"/>
      <c r="I24" s="140"/>
      <c r="J24" s="140"/>
      <c r="K24" s="140"/>
    </row>
    <row r="25" spans="1:22" ht="14.1" customHeight="1" x14ac:dyDescent="0.25">
      <c r="A25" s="755" t="s">
        <v>510</v>
      </c>
      <c r="B25" s="755"/>
      <c r="C25" s="755"/>
      <c r="D25" s="755"/>
      <c r="E25" s="139"/>
      <c r="I25" s="139"/>
      <c r="J25" s="139"/>
      <c r="K25" s="139"/>
    </row>
    <row r="26" spans="1:22" ht="19.5" customHeight="1" x14ac:dyDescent="0.25">
      <c r="A26" s="755"/>
      <c r="B26" s="755"/>
      <c r="C26" s="755"/>
      <c r="D26" s="755"/>
      <c r="E26" s="139"/>
      <c r="F26" s="139"/>
      <c r="G26" s="139"/>
      <c r="H26" s="139"/>
      <c r="I26" s="139"/>
      <c r="J26" s="139"/>
      <c r="K26" s="139"/>
    </row>
    <row r="27" spans="1:22" ht="16.5" customHeight="1" x14ac:dyDescent="0.25">
      <c r="A27" s="755" t="s">
        <v>353</v>
      </c>
      <c r="B27" s="755"/>
      <c r="C27" s="755"/>
      <c r="D27" s="755"/>
      <c r="E27" s="139"/>
      <c r="F27" s="139"/>
      <c r="G27" s="139"/>
      <c r="H27" s="139"/>
      <c r="I27" s="139"/>
      <c r="J27" s="139"/>
      <c r="K27" s="139"/>
    </row>
    <row r="28" spans="1:22" ht="33.6" customHeight="1" x14ac:dyDescent="0.25">
      <c r="A28" s="755"/>
      <c r="B28" s="755"/>
      <c r="C28" s="755"/>
      <c r="D28" s="755"/>
      <c r="E28" s="139"/>
      <c r="F28" s="139"/>
      <c r="G28" s="139"/>
      <c r="H28" s="139"/>
      <c r="I28" s="139"/>
      <c r="J28" s="139"/>
      <c r="K28" s="139"/>
    </row>
    <row r="29" spans="1:22" ht="18" customHeight="1" x14ac:dyDescent="0.25">
      <c r="A29" s="755" t="s">
        <v>511</v>
      </c>
      <c r="B29" s="755"/>
      <c r="C29" s="755"/>
      <c r="D29" s="755"/>
      <c r="E29" s="139"/>
      <c r="F29" s="139"/>
      <c r="G29" s="139"/>
      <c r="H29" s="139"/>
      <c r="I29" s="139"/>
      <c r="J29" s="139"/>
      <c r="K29" s="139"/>
    </row>
    <row r="30" spans="1:22" x14ac:dyDescent="0.25">
      <c r="A30" s="755"/>
      <c r="B30" s="755"/>
      <c r="C30" s="755"/>
      <c r="D30" s="755"/>
      <c r="E30" s="139"/>
      <c r="F30" s="139"/>
      <c r="G30" s="139"/>
      <c r="H30" s="139"/>
      <c r="I30" s="139"/>
      <c r="J30" s="139"/>
      <c r="K30" s="139"/>
    </row>
    <row r="31" spans="1:22" ht="15.95" customHeight="1" x14ac:dyDescent="0.25">
      <c r="A31" s="755"/>
      <c r="B31" s="755"/>
      <c r="C31" s="755"/>
      <c r="D31" s="755"/>
      <c r="E31" s="139"/>
      <c r="F31" s="139"/>
      <c r="G31" s="139"/>
      <c r="H31" s="139"/>
      <c r="I31" s="139"/>
      <c r="J31" s="139"/>
      <c r="K31" s="139"/>
    </row>
    <row r="32" spans="1:22" hidden="1" x14ac:dyDescent="0.25">
      <c r="A32" s="755"/>
      <c r="B32" s="755"/>
      <c r="C32" s="755"/>
      <c r="D32" s="755"/>
      <c r="E32" s="139"/>
      <c r="F32" s="139"/>
      <c r="G32" s="139"/>
      <c r="H32" s="139"/>
      <c r="I32" s="139"/>
      <c r="J32" s="139"/>
      <c r="K32" s="139"/>
    </row>
    <row r="33" spans="1:12" ht="15" customHeight="1" x14ac:dyDescent="0.25">
      <c r="A33" s="756" t="s">
        <v>552</v>
      </c>
      <c r="B33" s="756"/>
      <c r="C33" s="756"/>
      <c r="D33" s="756"/>
      <c r="E33" s="139"/>
      <c r="F33" s="139"/>
      <c r="G33" s="139"/>
      <c r="H33" s="139"/>
      <c r="I33" s="139"/>
      <c r="J33" s="139"/>
      <c r="K33" s="139"/>
    </row>
    <row r="34" spans="1:12" ht="47.1" customHeight="1" x14ac:dyDescent="0.25">
      <c r="A34" s="756"/>
      <c r="B34" s="756"/>
      <c r="C34" s="756"/>
      <c r="D34" s="756"/>
      <c r="E34" s="139"/>
      <c r="F34" s="139"/>
      <c r="G34" s="139"/>
      <c r="H34" s="139"/>
      <c r="I34" s="139"/>
      <c r="J34" s="139"/>
      <c r="K34" s="139"/>
    </row>
    <row r="35" spans="1:12" ht="15" customHeight="1" x14ac:dyDescent="0.25">
      <c r="A35" s="757" t="s">
        <v>512</v>
      </c>
      <c r="B35" s="757"/>
      <c r="C35" s="757"/>
      <c r="D35" s="757"/>
      <c r="E35" s="139"/>
      <c r="F35" s="139"/>
      <c r="G35" s="139"/>
      <c r="H35" s="139"/>
      <c r="I35" s="139"/>
      <c r="J35" s="139"/>
      <c r="K35" s="139"/>
      <c r="L35" s="141"/>
    </row>
    <row r="36" spans="1:12" ht="32.450000000000003" customHeight="1" x14ac:dyDescent="0.25">
      <c r="A36" s="757"/>
      <c r="B36" s="757"/>
      <c r="C36" s="757"/>
      <c r="D36" s="757"/>
      <c r="E36" s="139"/>
      <c r="F36" s="139"/>
      <c r="G36" s="139"/>
      <c r="H36" s="139"/>
      <c r="I36" s="139"/>
      <c r="J36" s="139"/>
      <c r="K36" s="139"/>
      <c r="L36" s="141"/>
    </row>
    <row r="37" spans="1:12" s="719" customFormat="1" ht="76.5" customHeight="1" x14ac:dyDescent="0.25">
      <c r="A37" s="759" t="s">
        <v>565</v>
      </c>
      <c r="B37" s="759"/>
      <c r="C37" s="759"/>
      <c r="D37" s="759"/>
      <c r="E37" s="139"/>
      <c r="F37" s="139"/>
      <c r="G37" s="139"/>
      <c r="H37" s="139"/>
      <c r="I37" s="139"/>
      <c r="J37" s="139"/>
      <c r="K37" s="139"/>
    </row>
    <row r="38" spans="1:12" ht="15.75" customHeight="1" x14ac:dyDescent="0.25">
      <c r="A38" s="752" t="s">
        <v>361</v>
      </c>
      <c r="B38" s="752"/>
      <c r="C38" s="752"/>
      <c r="D38" s="752"/>
      <c r="E38" s="142"/>
      <c r="F38" s="142"/>
      <c r="G38" s="142"/>
      <c r="H38" s="142"/>
      <c r="I38" s="142"/>
      <c r="J38" s="142"/>
      <c r="K38" s="142"/>
    </row>
    <row r="39" spans="1:12" ht="15.75" customHeight="1" x14ac:dyDescent="0.25">
      <c r="A39" s="753" t="s">
        <v>354</v>
      </c>
      <c r="B39" s="753"/>
      <c r="C39" s="753"/>
      <c r="D39" s="753"/>
      <c r="E39" s="142"/>
      <c r="F39" s="142"/>
      <c r="G39" s="142"/>
      <c r="H39" s="142"/>
      <c r="I39" s="142"/>
      <c r="J39" s="142"/>
      <c r="K39" s="142"/>
    </row>
    <row r="40" spans="1:12" ht="15.75" customHeight="1" x14ac:dyDescent="0.25">
      <c r="A40" s="753"/>
      <c r="B40" s="753"/>
      <c r="C40" s="753"/>
      <c r="D40" s="753"/>
      <c r="E40" s="142"/>
      <c r="F40" s="142"/>
      <c r="G40" s="142"/>
      <c r="H40" s="142"/>
      <c r="I40" s="142"/>
      <c r="J40" s="142"/>
      <c r="K40" s="142"/>
    </row>
    <row r="41" spans="1:12" ht="15" customHeight="1" x14ac:dyDescent="0.25">
      <c r="A41" s="753"/>
      <c r="B41" s="753"/>
      <c r="C41" s="753"/>
      <c r="D41" s="753"/>
      <c r="E41" s="143"/>
      <c r="F41" s="143"/>
      <c r="G41" s="143"/>
      <c r="H41" s="143"/>
      <c r="I41" s="143"/>
      <c r="J41" s="143"/>
      <c r="K41" s="143"/>
    </row>
    <row r="42" spans="1:12" ht="15" customHeight="1" x14ac:dyDescent="0.25">
      <c r="A42" s="753"/>
      <c r="B42" s="753"/>
      <c r="C42" s="753"/>
      <c r="D42" s="753"/>
      <c r="E42" s="144"/>
      <c r="F42" s="144"/>
      <c r="G42" s="144"/>
      <c r="H42" s="144"/>
      <c r="I42" s="144"/>
      <c r="J42" s="144"/>
      <c r="K42" s="144"/>
    </row>
    <row r="43" spans="1:12" ht="14.1" customHeight="1" x14ac:dyDescent="0.25">
      <c r="A43" s="753"/>
      <c r="B43" s="753"/>
      <c r="C43" s="753"/>
      <c r="D43" s="753"/>
      <c r="E43" s="144"/>
      <c r="F43" s="144"/>
      <c r="G43" s="144"/>
      <c r="H43" s="144"/>
      <c r="I43" s="144"/>
      <c r="J43" s="144"/>
      <c r="K43" s="144"/>
    </row>
    <row r="44" spans="1:12" ht="14.1" customHeight="1" x14ac:dyDescent="0.25">
      <c r="A44" s="753"/>
      <c r="B44" s="753"/>
      <c r="C44" s="753"/>
      <c r="D44" s="753"/>
      <c r="E44" s="145"/>
      <c r="F44" s="145"/>
      <c r="G44" s="145"/>
      <c r="H44" s="145"/>
      <c r="I44" s="145"/>
      <c r="J44" s="145"/>
      <c r="K44" s="145"/>
    </row>
    <row r="45" spans="1:12" ht="14.1" customHeight="1" x14ac:dyDescent="0.25">
      <c r="A45" s="753"/>
      <c r="B45" s="753"/>
      <c r="C45" s="753"/>
      <c r="D45" s="753"/>
    </row>
    <row r="46" spans="1:12" ht="14.1" customHeight="1" x14ac:dyDescent="0.25"/>
    <row r="47" spans="1:12" ht="14.1" customHeight="1" x14ac:dyDescent="0.25"/>
    <row r="50" spans="1:1" x14ac:dyDescent="0.25">
      <c r="A50" s="146"/>
    </row>
  </sheetData>
  <sortState xmlns:xlrd2="http://schemas.microsoft.com/office/spreadsheetml/2017/richdata2" ref="R6:U13">
    <sortCondition ref="U6:U13"/>
  </sortState>
  <mergeCells count="12">
    <mergeCell ref="A1:D3"/>
    <mergeCell ref="E17:L20"/>
    <mergeCell ref="A38:D38"/>
    <mergeCell ref="A39:D45"/>
    <mergeCell ref="A23:D23"/>
    <mergeCell ref="A25:D26"/>
    <mergeCell ref="A27:D28"/>
    <mergeCell ref="A29:D32"/>
    <mergeCell ref="A33:D34"/>
    <mergeCell ref="A35:D36"/>
    <mergeCell ref="A24:D24"/>
    <mergeCell ref="A37:D3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topLeftCell="A9" zoomScaleNormal="100" workbookViewId="0">
      <selection activeCell="A32" sqref="A32"/>
    </sheetView>
  </sheetViews>
  <sheetFormatPr defaultColWidth="9.140625" defaultRowHeight="15.75" x14ac:dyDescent="0.25"/>
  <cols>
    <col min="1" max="1" width="24.85546875" style="2" customWidth="1"/>
    <col min="2" max="2" width="22.28515625" style="2" customWidth="1"/>
    <col min="3" max="3" width="22.7109375" style="2" customWidth="1"/>
    <col min="4" max="4" width="16" style="2" customWidth="1"/>
    <col min="5" max="5" width="15.42578125" style="2" customWidth="1"/>
    <col min="6" max="6" width="19.140625" style="2" customWidth="1"/>
    <col min="7" max="7" width="15" style="2" customWidth="1"/>
    <col min="8" max="8" width="14" style="2" customWidth="1"/>
    <col min="9" max="9" width="14.140625" style="2" customWidth="1"/>
    <col min="10" max="10" width="11.28515625" style="2" customWidth="1"/>
    <col min="11" max="11" width="11" style="2" customWidth="1"/>
    <col min="12" max="12" width="9.7109375" style="2" customWidth="1"/>
    <col min="13" max="16384" width="9.140625" style="2"/>
  </cols>
  <sheetData>
    <row r="1" spans="1:12" ht="16.5" thickBot="1" x14ac:dyDescent="0.3">
      <c r="A1" s="427" t="s">
        <v>526</v>
      </c>
      <c r="B1" s="427"/>
      <c r="C1" s="427"/>
      <c r="D1" s="427"/>
      <c r="E1" s="427"/>
      <c r="F1" s="427"/>
      <c r="H1" s="4"/>
      <c r="I1" s="546"/>
    </row>
    <row r="2" spans="1:12" x14ac:dyDescent="0.25">
      <c r="A2" s="684"/>
      <c r="B2" s="470"/>
      <c r="C2" s="470"/>
      <c r="D2" s="470"/>
      <c r="E2" s="685" t="s">
        <v>15</v>
      </c>
      <c r="F2" s="686" t="s">
        <v>0</v>
      </c>
      <c r="H2" s="4"/>
      <c r="I2" s="546"/>
    </row>
    <row r="3" spans="1:12" x14ac:dyDescent="0.25">
      <c r="A3" s="687" t="s">
        <v>54</v>
      </c>
      <c r="B3" s="688" t="s">
        <v>13</v>
      </c>
      <c r="C3" s="689" t="s">
        <v>75</v>
      </c>
      <c r="D3" s="689" t="s">
        <v>168</v>
      </c>
      <c r="E3" s="688" t="s">
        <v>55</v>
      </c>
      <c r="F3" s="690" t="s">
        <v>55</v>
      </c>
      <c r="H3" s="4"/>
      <c r="I3" s="546"/>
    </row>
    <row r="4" spans="1:12" x14ac:dyDescent="0.25">
      <c r="A4" s="691" t="s">
        <v>375</v>
      </c>
      <c r="B4" s="692" t="s">
        <v>381</v>
      </c>
      <c r="C4" s="693" t="str">
        <f>'Farm Machinery'!B2</f>
        <v>Tractor, 215 H.P.,W/Cab, Air</v>
      </c>
      <c r="D4" s="693" t="str">
        <f>'Farm Machinery'!B6</f>
        <v xml:space="preserve">Rotary Mower       </v>
      </c>
      <c r="E4" s="694">
        <f>rotary_mow_HPA</f>
        <v>9.8214285714285712E-2</v>
      </c>
      <c r="F4" s="430">
        <f>labor_factor_machine*E4</f>
        <v>0.12276785714285714</v>
      </c>
      <c r="H4" s="4"/>
      <c r="I4" s="546"/>
    </row>
    <row r="5" spans="1:12" x14ac:dyDescent="0.25">
      <c r="A5" s="691"/>
      <c r="B5" s="692" t="s">
        <v>459</v>
      </c>
      <c r="C5" s="693" t="str">
        <f>'Farm Machinery'!B2</f>
        <v>Tractor, 215 H.P.,W/Cab, Air</v>
      </c>
      <c r="D5" s="693" t="str">
        <f>'Farm Machinery'!B18</f>
        <v>Tandom Disk</v>
      </c>
      <c r="E5" s="694">
        <v>7.4374577417173765E-2</v>
      </c>
      <c r="F5" s="430">
        <f>labor_factor_machine*E5</f>
        <v>9.2968221771467213E-2</v>
      </c>
      <c r="H5" s="4"/>
      <c r="I5" s="546"/>
    </row>
    <row r="6" spans="1:12" ht="16.5" thickBot="1" x14ac:dyDescent="0.3">
      <c r="A6" s="431" t="s">
        <v>375</v>
      </c>
      <c r="B6" s="432" t="s">
        <v>57</v>
      </c>
      <c r="C6" s="244" t="str">
        <f>'Farm Machinery'!B2</f>
        <v>Tractor, 215 H.P.,W/Cab, Air</v>
      </c>
      <c r="D6" s="102" t="str">
        <f>'Farm Machinery'!B4</f>
        <v xml:space="preserve">NT Grain Drill (20 ft)  </v>
      </c>
      <c r="E6" s="695">
        <f>plant_notill_drill</f>
        <v>0.11785714285714287</v>
      </c>
      <c r="F6" s="430">
        <f>labor_factor_machine*E6</f>
        <v>0.14732142857142858</v>
      </c>
      <c r="H6" s="4"/>
      <c r="I6" s="546"/>
    </row>
    <row r="7" spans="1:12" ht="17.25" thickTop="1" thickBot="1" x14ac:dyDescent="0.3">
      <c r="A7" s="493" t="s">
        <v>16</v>
      </c>
      <c r="B7" s="509"/>
      <c r="C7" s="509"/>
      <c r="D7" s="509"/>
      <c r="E7" s="547">
        <f>SUM(E4:E6)</f>
        <v>0.29044600598860237</v>
      </c>
      <c r="F7" s="548">
        <f>SUM(F4:F6)</f>
        <v>0.36305750748575294</v>
      </c>
      <c r="H7" s="4"/>
      <c r="I7" s="546"/>
    </row>
    <row r="10" spans="1:12" ht="16.5" thickBot="1" x14ac:dyDescent="0.3">
      <c r="A10" s="9" t="s">
        <v>523</v>
      </c>
      <c r="B10" s="9"/>
      <c r="C10" s="9"/>
      <c r="D10" s="9"/>
      <c r="E10" s="9"/>
      <c r="F10" s="4"/>
    </row>
    <row r="11" spans="1:12" x14ac:dyDescent="0.25">
      <c r="A11" s="676" t="s">
        <v>1</v>
      </c>
      <c r="B11" s="677" t="s">
        <v>6</v>
      </c>
      <c r="C11" s="677" t="s">
        <v>2</v>
      </c>
      <c r="D11" s="677" t="s">
        <v>3</v>
      </c>
      <c r="E11" s="677" t="s">
        <v>4</v>
      </c>
      <c r="F11" s="678" t="s">
        <v>5</v>
      </c>
    </row>
    <row r="12" spans="1:12" ht="16.5" thickBot="1" x14ac:dyDescent="0.3">
      <c r="A12" s="679" t="s">
        <v>58</v>
      </c>
      <c r="B12" s="680" t="s">
        <v>59</v>
      </c>
      <c r="C12" s="681" t="s">
        <v>276</v>
      </c>
      <c r="D12" s="682">
        <f>q_seed</f>
        <v>5</v>
      </c>
      <c r="E12" s="683">
        <f>p_seed</f>
        <v>2.5</v>
      </c>
      <c r="F12" s="545">
        <f>D12*E12</f>
        <v>12.5</v>
      </c>
    </row>
    <row r="13" spans="1:12" ht="17.25" thickTop="1" thickBot="1" x14ac:dyDescent="0.3">
      <c r="A13" s="493" t="s">
        <v>16</v>
      </c>
      <c r="B13" s="509"/>
      <c r="C13" s="509"/>
      <c r="D13" s="509"/>
      <c r="E13" s="547"/>
      <c r="F13" s="549">
        <f>SUM(F12)</f>
        <v>12.5</v>
      </c>
    </row>
    <row r="16" spans="1:12" ht="16.5" thickBot="1" x14ac:dyDescent="0.3">
      <c r="A16" s="446" t="s">
        <v>524</v>
      </c>
      <c r="B16" s="446"/>
      <c r="C16" s="446"/>
      <c r="D16" s="446"/>
      <c r="E16" s="446"/>
      <c r="F16" s="446"/>
      <c r="G16" s="446"/>
      <c r="H16" s="446"/>
      <c r="I16" s="446"/>
      <c r="J16" s="446"/>
      <c r="K16" s="446"/>
      <c r="L16" s="9"/>
    </row>
    <row r="17" spans="1:13" ht="32.25" thickBot="1" x14ac:dyDescent="0.3">
      <c r="A17" s="662" t="s">
        <v>13</v>
      </c>
      <c r="B17" s="663" t="s">
        <v>75</v>
      </c>
      <c r="C17" s="664" t="s">
        <v>168</v>
      </c>
      <c r="D17" s="665" t="s">
        <v>485</v>
      </c>
      <c r="E17" s="665" t="s">
        <v>170</v>
      </c>
      <c r="F17" s="665" t="s">
        <v>239</v>
      </c>
      <c r="G17" s="665" t="s">
        <v>171</v>
      </c>
      <c r="H17" s="665" t="s">
        <v>172</v>
      </c>
      <c r="I17" s="665" t="s">
        <v>0</v>
      </c>
      <c r="J17" s="665" t="s">
        <v>238</v>
      </c>
      <c r="K17" s="666" t="s">
        <v>16</v>
      </c>
    </row>
    <row r="18" spans="1:13" x14ac:dyDescent="0.25">
      <c r="A18" s="662" t="s">
        <v>381</v>
      </c>
      <c r="B18" s="667" t="str">
        <f>'Farm Machinery'!B2</f>
        <v>Tractor, 215 H.P.,W/Cab, Air</v>
      </c>
      <c r="C18" s="664" t="str">
        <f>'Farm Machinery'!B6</f>
        <v xml:space="preserve">Rotary Mower       </v>
      </c>
      <c r="D18" s="668">
        <f>'Farm Machinery'!J6</f>
        <v>15</v>
      </c>
      <c r="E18" s="669">
        <f>('Farm Machinery Cost Calculation'!H14+'Farm Machinery Cost Calculation'!T14)*Establishment!E4</f>
        <v>4.1815837887553071</v>
      </c>
      <c r="F18" s="669">
        <f>('Farm Machinery Cost Calculation'!H15+'Farm Machinery Cost Calculation'!T15)*Establishment!E4</f>
        <v>0.90968114952987567</v>
      </c>
      <c r="G18" s="669">
        <f>('Farm Machinery Cost Calculation'!H12+'Farm Machinery Cost Calculation'!T12)*Establishment!E4</f>
        <v>5.4537815126050422</v>
      </c>
      <c r="H18" s="669">
        <f>('Farm Machinery Cost Calculation'!H10+'Farm Machinery Cost Calculation'!H11)*Establishment!E4</f>
        <v>2.6154330174107145</v>
      </c>
      <c r="I18" s="555">
        <f>farm_labor_cost*F4</f>
        <v>1.5223214285714286</v>
      </c>
      <c r="J18" s="556">
        <f>(G18+H18+I18)*nom_interest/2</f>
        <v>0.28774607875761554</v>
      </c>
      <c r="K18" s="557">
        <f>SUM(E18:J18)</f>
        <v>14.970546975629984</v>
      </c>
      <c r="L18" s="50"/>
      <c r="M18" s="50"/>
    </row>
    <row r="19" spans="1:13" x14ac:dyDescent="0.25">
      <c r="A19" s="670" t="s">
        <v>376</v>
      </c>
      <c r="B19" s="102" t="str">
        <f>'Farm Machinery'!B2</f>
        <v>Tractor, 215 H.P.,W/Cab, Air</v>
      </c>
      <c r="C19" s="671" t="str">
        <f>'Farm Machinery'!B18</f>
        <v>Tandom Disk</v>
      </c>
      <c r="D19" s="672">
        <f>'Farm Machinery'!J18</f>
        <v>29</v>
      </c>
      <c r="E19" s="673">
        <f>('Farm Machinery Cost Calculation'!H14+'Farm Machinery Cost Calculation'!BD14)*Establishment!E5</f>
        <v>1.8465413717154147</v>
      </c>
      <c r="F19" s="673">
        <f>('Farm Machinery Cost Calculation'!H15+'Farm Machinery Cost Calculation'!BD15)*Establishment!E5</f>
        <v>0.42356700748863518</v>
      </c>
      <c r="G19" s="673">
        <f>('Farm Machinery Cost Calculation'!H12+'Farm Machinery Cost Calculation'!BD12)*Establishment!E5</f>
        <v>2.7836256806826456</v>
      </c>
      <c r="H19" s="673">
        <f>('Farm Machinery Cost Calculation'!H10+'Farm Machinery Cost Calculation'!BD11)*Establishment!E5</f>
        <v>1.7222476876267749</v>
      </c>
      <c r="I19" s="558">
        <f>farm_labor_cost*F5</f>
        <v>1.1528059499661936</v>
      </c>
      <c r="J19" s="559">
        <f>(G19+H19+I19)*nom_interest/2</f>
        <v>0.16976037954826842</v>
      </c>
      <c r="K19" s="560">
        <f>SUM(E19:J19)</f>
        <v>8.0985480770279317</v>
      </c>
      <c r="L19" s="50"/>
      <c r="M19" s="50"/>
    </row>
    <row r="20" spans="1:13" ht="16.5" thickBot="1" x14ac:dyDescent="0.3">
      <c r="A20" s="478" t="s">
        <v>57</v>
      </c>
      <c r="B20" s="437" t="str">
        <f>'Farm Machinery'!B2</f>
        <v>Tractor, 215 H.P.,W/Cab, Air</v>
      </c>
      <c r="C20" s="437" t="str">
        <f>'Farm Machinery'!B4</f>
        <v xml:space="preserve">NT Grain Drill (20 ft)  </v>
      </c>
      <c r="D20" s="674">
        <f>'Farm Machinery'!J4</f>
        <v>20</v>
      </c>
      <c r="E20" s="553">
        <f>('Farm Machinery Cost Calculation'!H14+'Farm Machinery Cost Calculation'!N14)*Establishment!E6</f>
        <v>6.5143381140205223</v>
      </c>
      <c r="F20" s="553">
        <f>('Farm Machinery Cost Calculation'!H15+'Farm Machinery Cost Calculation'!N15)*Establishment!E6</f>
        <v>1.2401634382566589</v>
      </c>
      <c r="G20" s="553">
        <f>('Farm Machinery Cost Calculation'!H12+'Farm Machinery Cost Calculation'!N12)*Establishment!E6</f>
        <v>6.8620131758948917</v>
      </c>
      <c r="H20" s="553">
        <f>('Farm Machinery Cost Calculation'!H10+'Farm Machinery Cost Calculation'!H11)*Establishment!E6</f>
        <v>3.1385196208928576</v>
      </c>
      <c r="I20" s="554">
        <f>farm_labor_cost*F6</f>
        <v>1.8267857142857145</v>
      </c>
      <c r="J20" s="561">
        <f>(G20+H20+I20)*nom_interest/2</f>
        <v>0.35481955533220388</v>
      </c>
      <c r="K20" s="675">
        <f>SUM(E20:J20)</f>
        <v>19.93663961868285</v>
      </c>
      <c r="L20" s="50"/>
      <c r="M20" s="50"/>
    </row>
    <row r="21" spans="1:13" ht="16.5" thickBot="1" x14ac:dyDescent="0.3">
      <c r="A21" s="478" t="s">
        <v>16</v>
      </c>
      <c r="B21" s="479"/>
      <c r="C21" s="483"/>
      <c r="D21" s="562"/>
      <c r="E21" s="553">
        <f>SUM(E18:E20)</f>
        <v>12.542463274491244</v>
      </c>
      <c r="F21" s="553">
        <f>SUM(F18:F20)</f>
        <v>2.5734115952751697</v>
      </c>
      <c r="G21" s="553">
        <f t="shared" ref="G21:H21" si="0">SUM(G18:G20)</f>
        <v>15.099420369182578</v>
      </c>
      <c r="H21" s="553">
        <f t="shared" si="0"/>
        <v>7.4762003259303471</v>
      </c>
      <c r="I21" s="553">
        <f>SUM(I18:I20)</f>
        <v>4.5019130928233366</v>
      </c>
      <c r="J21" s="553">
        <f>SUM(J18:J20)</f>
        <v>0.81232601363808787</v>
      </c>
      <c r="K21" s="553">
        <f>SUM(K18:K20)</f>
        <v>43.005734671340761</v>
      </c>
      <c r="L21" s="552"/>
    </row>
    <row r="22" spans="1:13" x14ac:dyDescent="0.25">
      <c r="A22" s="102"/>
      <c r="B22" s="458"/>
      <c r="C22" s="102"/>
      <c r="D22" s="697"/>
      <c r="E22" s="631"/>
      <c r="F22" s="631"/>
      <c r="G22" s="631"/>
      <c r="H22" s="631"/>
      <c r="I22" s="631"/>
      <c r="J22" s="631"/>
      <c r="K22" s="631"/>
      <c r="L22" s="304"/>
    </row>
    <row r="23" spans="1:13" x14ac:dyDescent="0.25">
      <c r="L23" s="50"/>
      <c r="M23" s="4"/>
    </row>
    <row r="24" spans="1:13" ht="16.5" thickBot="1" x14ac:dyDescent="0.3">
      <c r="A24" s="9" t="s">
        <v>525</v>
      </c>
      <c r="B24" s="9"/>
      <c r="C24" s="9"/>
      <c r="D24" s="9"/>
      <c r="E24" s="9"/>
      <c r="F24" s="154"/>
    </row>
    <row r="25" spans="1:13" x14ac:dyDescent="0.25">
      <c r="A25" s="540"/>
      <c r="B25" s="470"/>
      <c r="C25" s="470"/>
      <c r="D25" s="470"/>
      <c r="E25" s="422" t="s">
        <v>15</v>
      </c>
      <c r="F25" s="422" t="s">
        <v>0</v>
      </c>
      <c r="G25" s="423" t="s">
        <v>192</v>
      </c>
    </row>
    <row r="26" spans="1:13" ht="16.5" thickBot="1" x14ac:dyDescent="0.3">
      <c r="A26" s="541" t="s">
        <v>54</v>
      </c>
      <c r="B26" s="425" t="s">
        <v>13</v>
      </c>
      <c r="C26" s="542" t="s">
        <v>75</v>
      </c>
      <c r="D26" s="542" t="s">
        <v>168</v>
      </c>
      <c r="E26" s="425" t="s">
        <v>55</v>
      </c>
      <c r="F26" s="425" t="s">
        <v>55</v>
      </c>
      <c r="G26" s="428" t="s">
        <v>193</v>
      </c>
    </row>
    <row r="27" spans="1:13" ht="16.5" thickBot="1" x14ac:dyDescent="0.3">
      <c r="A27" s="435" t="s">
        <v>375</v>
      </c>
      <c r="B27" s="436" t="s">
        <v>57</v>
      </c>
      <c r="C27" s="437" t="s">
        <v>191</v>
      </c>
      <c r="D27" s="543"/>
      <c r="E27" s="544" t="s">
        <v>8</v>
      </c>
      <c r="F27" s="544" t="s">
        <v>8</v>
      </c>
      <c r="G27" s="545">
        <v>10</v>
      </c>
    </row>
    <row r="28" spans="1:13" ht="16.5" thickBot="1" x14ac:dyDescent="0.3">
      <c r="A28" s="435" t="s">
        <v>16</v>
      </c>
      <c r="B28" s="499" t="s">
        <v>16</v>
      </c>
      <c r="C28" s="499"/>
      <c r="D28" s="543"/>
      <c r="E28" s="543"/>
      <c r="F28" s="543"/>
      <c r="G28" s="699">
        <f>SUM(G27:G27)</f>
        <v>10</v>
      </c>
    </row>
    <row r="29" spans="1:13" x14ac:dyDescent="0.25">
      <c r="A29" s="760" t="s">
        <v>455</v>
      </c>
      <c r="B29" s="760"/>
      <c r="C29" s="760"/>
      <c r="D29" s="760"/>
      <c r="E29" s="760"/>
      <c r="F29" s="760"/>
      <c r="G29" s="760"/>
    </row>
    <row r="30" spans="1:13" x14ac:dyDescent="0.25">
      <c r="A30" s="761"/>
      <c r="B30" s="761"/>
      <c r="C30" s="761"/>
      <c r="D30" s="761"/>
      <c r="E30" s="761"/>
      <c r="F30" s="761"/>
      <c r="G30" s="761"/>
    </row>
    <row r="37" spans="8:9" x14ac:dyDescent="0.25">
      <c r="H37" s="4"/>
      <c r="I37" s="4"/>
    </row>
    <row r="38" spans="8:9" x14ac:dyDescent="0.25">
      <c r="H38" s="4"/>
      <c r="I38" s="4"/>
    </row>
    <row r="39" spans="8:9" x14ac:dyDescent="0.25">
      <c r="H39" s="4"/>
      <c r="I39" s="4"/>
    </row>
    <row r="40" spans="8:9" x14ac:dyDescent="0.25">
      <c r="H40" s="4"/>
      <c r="I40" s="4"/>
    </row>
    <row r="43" spans="8:9" ht="15.75" customHeight="1" x14ac:dyDescent="0.25"/>
    <row r="45" spans="8:9" ht="15.75" customHeight="1" x14ac:dyDescent="0.25"/>
  </sheetData>
  <mergeCells count="1">
    <mergeCell ref="A29:G30"/>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6"/>
  <sheetViews>
    <sheetView topLeftCell="C1" zoomScaleNormal="100" workbookViewId="0">
      <selection activeCell="G22" sqref="G22"/>
    </sheetView>
  </sheetViews>
  <sheetFormatPr defaultColWidth="8.7109375" defaultRowHeight="15" x14ac:dyDescent="0.25"/>
  <cols>
    <col min="1" max="1" width="25.28515625" style="105" bestFit="1" customWidth="1"/>
    <col min="2" max="2" width="18.42578125" style="105" customWidth="1"/>
    <col min="3" max="3" width="23.85546875" style="105" customWidth="1"/>
    <col min="4" max="4" width="17.7109375" style="105" customWidth="1"/>
    <col min="5" max="5" width="15.7109375" style="105" customWidth="1"/>
    <col min="6" max="6" width="16.5703125" style="105" customWidth="1"/>
    <col min="7" max="7" width="16" style="105" customWidth="1"/>
    <col min="8" max="8" width="14.7109375" style="105" bestFit="1" customWidth="1"/>
    <col min="9" max="9" width="11" style="105" customWidth="1"/>
    <col min="10" max="10" width="10" style="105" customWidth="1"/>
    <col min="11" max="11" width="12.7109375" style="105" customWidth="1"/>
    <col min="12" max="16384" width="8.7109375" style="105"/>
  </cols>
  <sheetData>
    <row r="1" spans="1:9" ht="16.5" thickBot="1" x14ac:dyDescent="0.3">
      <c r="A1" s="441" t="s">
        <v>527</v>
      </c>
      <c r="B1" s="4"/>
      <c r="C1" s="4"/>
      <c r="D1" s="494"/>
      <c r="E1" s="494"/>
      <c r="F1" s="2"/>
      <c r="G1" s="2"/>
      <c r="H1" s="2"/>
    </row>
    <row r="2" spans="1:9" ht="15.75" x14ac:dyDescent="0.25">
      <c r="A2" s="700"/>
      <c r="B2" s="495"/>
      <c r="C2" s="421"/>
      <c r="D2" s="421"/>
      <c r="E2" s="422" t="s">
        <v>15</v>
      </c>
      <c r="F2" s="423" t="s">
        <v>0</v>
      </c>
      <c r="G2" s="2"/>
      <c r="H2" s="2"/>
      <c r="I2" s="2"/>
    </row>
    <row r="3" spans="1:9" ht="16.5" thickBot="1" x14ac:dyDescent="0.3">
      <c r="A3" s="701" t="s">
        <v>54</v>
      </c>
      <c r="B3" s="425" t="s">
        <v>13</v>
      </c>
      <c r="C3" s="425" t="s">
        <v>14</v>
      </c>
      <c r="D3" s="425"/>
      <c r="E3" s="425" t="s">
        <v>528</v>
      </c>
      <c r="F3" s="428" t="s">
        <v>528</v>
      </c>
      <c r="G3" s="496"/>
      <c r="H3" s="2"/>
    </row>
    <row r="4" spans="1:9" ht="15.75" x14ac:dyDescent="0.25">
      <c r="A4" s="469" t="s">
        <v>275</v>
      </c>
      <c r="B4" s="421" t="s">
        <v>267</v>
      </c>
      <c r="C4" s="421" t="str">
        <f>'Farm Machinery'!$B$5</f>
        <v>Sprayer, S.P,, 90` boom</v>
      </c>
      <c r="D4" s="704" t="s">
        <v>8</v>
      </c>
      <c r="E4" s="705">
        <f>spray_90_HPA*0</f>
        <v>0</v>
      </c>
      <c r="F4" s="706">
        <f>labor_factor_machine*E4</f>
        <v>0</v>
      </c>
      <c r="G4" s="4"/>
      <c r="H4" s="2"/>
    </row>
    <row r="5" spans="1:9" ht="15.75" x14ac:dyDescent="0.25">
      <c r="A5" s="505" t="s">
        <v>275</v>
      </c>
      <c r="B5" s="3" t="s">
        <v>267</v>
      </c>
      <c r="C5" s="246" t="s">
        <v>81</v>
      </c>
      <c r="D5" s="32" t="str">
        <f>'Farm Machinery'!B17</f>
        <v>Fertilizer Spreader</v>
      </c>
      <c r="E5" s="498">
        <f>1/'Farm Machinery'!L17</f>
        <v>6.7346938775510221E-2</v>
      </c>
      <c r="F5" s="702">
        <f>labor_factor_machine*E5</f>
        <v>8.4183673469387779E-2</v>
      </c>
      <c r="G5" s="4"/>
      <c r="H5" s="2"/>
    </row>
    <row r="6" spans="1:9" ht="15.75" x14ac:dyDescent="0.25">
      <c r="A6" s="703" t="s">
        <v>8</v>
      </c>
      <c r="B6" s="432" t="s">
        <v>176</v>
      </c>
      <c r="C6" s="4" t="str">
        <f>'Farm Machinery'!$B$5</f>
        <v>Sprayer, S.P,, 90` boom</v>
      </c>
      <c r="D6" s="259" t="s">
        <v>8</v>
      </c>
      <c r="E6" s="258">
        <f>fungicide_spray</f>
        <v>0</v>
      </c>
      <c r="F6" s="433">
        <f>labor_factor_machine*E6</f>
        <v>0</v>
      </c>
      <c r="G6" s="2"/>
      <c r="H6" s="2"/>
    </row>
    <row r="7" spans="1:9" ht="15.75" x14ac:dyDescent="0.25">
      <c r="A7" s="703" t="s">
        <v>8</v>
      </c>
      <c r="B7" s="432" t="s">
        <v>177</v>
      </c>
      <c r="C7" s="4" t="str">
        <f>'Farm Machinery'!$B$5</f>
        <v>Sprayer, S.P,, 90` boom</v>
      </c>
      <c r="D7" s="259" t="s">
        <v>8</v>
      </c>
      <c r="E7" s="258">
        <f>insecticide_spray</f>
        <v>0</v>
      </c>
      <c r="F7" s="433">
        <f>labor_factor_machine*E7</f>
        <v>0</v>
      </c>
      <c r="G7" s="2"/>
      <c r="H7" s="2"/>
    </row>
    <row r="8" spans="1:9" ht="16.5" thickBot="1" x14ac:dyDescent="0.3">
      <c r="A8" s="703" t="s">
        <v>8</v>
      </c>
      <c r="B8" s="432" t="s">
        <v>198</v>
      </c>
      <c r="C8" s="4" t="str">
        <f>'Farm Machinery'!$B$5</f>
        <v>Sprayer, S.P,, 90` boom</v>
      </c>
      <c r="D8" s="259" t="s">
        <v>8</v>
      </c>
      <c r="E8" s="258">
        <f>herbicide_spray*0</f>
        <v>0</v>
      </c>
      <c r="F8" s="433">
        <f>labor_factor_machine*E8</f>
        <v>0</v>
      </c>
      <c r="G8" s="2"/>
      <c r="H8" s="2"/>
    </row>
    <row r="9" spans="1:9" ht="16.5" thickBot="1" x14ac:dyDescent="0.3">
      <c r="A9" s="502" t="s">
        <v>16</v>
      </c>
      <c r="B9" s="503" t="s">
        <v>16</v>
      </c>
      <c r="C9" s="503"/>
      <c r="D9" s="503"/>
      <c r="E9" s="722">
        <f>SUM(E4:E7)</f>
        <v>6.7346938775510221E-2</v>
      </c>
      <c r="F9" s="723">
        <f>SUM(F4:F8)</f>
        <v>8.4183673469387779E-2</v>
      </c>
      <c r="G9" s="2"/>
      <c r="H9" s="2"/>
      <c r="I9" s="2"/>
    </row>
    <row r="12" spans="1:9" ht="16.5" thickBot="1" x14ac:dyDescent="0.3">
      <c r="A12" s="500" t="s">
        <v>449</v>
      </c>
      <c r="B12" s="500"/>
      <c r="C12" s="500"/>
      <c r="D12" s="500"/>
      <c r="E12" s="500"/>
      <c r="F12" s="501" t="s">
        <v>548</v>
      </c>
      <c r="G12" s="2"/>
      <c r="H12" s="2"/>
    </row>
    <row r="13" spans="1:9" ht="16.5" thickBot="1" x14ac:dyDescent="0.3">
      <c r="A13" s="502" t="s">
        <v>145</v>
      </c>
      <c r="B13" s="503" t="s">
        <v>6</v>
      </c>
      <c r="C13" s="155" t="s">
        <v>294</v>
      </c>
      <c r="D13" s="155" t="s">
        <v>146</v>
      </c>
      <c r="E13" s="155" t="s">
        <v>147</v>
      </c>
      <c r="F13" s="155" t="s">
        <v>295</v>
      </c>
      <c r="G13" s="155" t="s">
        <v>146</v>
      </c>
      <c r="H13" s="155" t="s">
        <v>147</v>
      </c>
      <c r="I13" s="431"/>
    </row>
    <row r="14" spans="1:9" ht="15.75" x14ac:dyDescent="0.25">
      <c r="A14" s="431" t="s">
        <v>148</v>
      </c>
      <c r="B14" s="4" t="s">
        <v>286</v>
      </c>
      <c r="C14" s="11">
        <v>0</v>
      </c>
      <c r="D14" s="11">
        <f>p_UAN</f>
        <v>0</v>
      </c>
      <c r="E14" s="12">
        <f t="shared" ref="E14:E20" si="0">C14*D14</f>
        <v>0</v>
      </c>
      <c r="F14" s="504">
        <v>50</v>
      </c>
      <c r="G14" s="11">
        <f>p_UAN</f>
        <v>0</v>
      </c>
      <c r="H14" s="304">
        <f>F14*G14</f>
        <v>0</v>
      </c>
      <c r="I14" s="431"/>
    </row>
    <row r="15" spans="1:9" ht="15.75" x14ac:dyDescent="0.25">
      <c r="A15" s="505" t="s">
        <v>148</v>
      </c>
      <c r="B15" s="3" t="s">
        <v>149</v>
      </c>
      <c r="C15" s="8">
        <f>q_N</f>
        <v>50</v>
      </c>
      <c r="D15" s="506">
        <f>p_N</f>
        <v>0.44</v>
      </c>
      <c r="E15" s="506">
        <f t="shared" si="0"/>
        <v>22</v>
      </c>
      <c r="F15" s="504">
        <v>50</v>
      </c>
      <c r="G15" s="12">
        <f>p_N</f>
        <v>0.44</v>
      </c>
      <c r="H15" s="304">
        <f t="shared" ref="H15:H20" si="1">F15*G15</f>
        <v>22</v>
      </c>
      <c r="I15" s="431"/>
    </row>
    <row r="16" spans="1:9" ht="18.75" x14ac:dyDescent="0.35">
      <c r="A16" s="431" t="s">
        <v>150</v>
      </c>
      <c r="B16" s="4" t="s">
        <v>483</v>
      </c>
      <c r="C16" s="11">
        <v>0</v>
      </c>
      <c r="D16" s="12">
        <f>p_P2O5</f>
        <v>0.33</v>
      </c>
      <c r="E16" s="12">
        <f t="shared" si="0"/>
        <v>0</v>
      </c>
      <c r="F16" s="504">
        <v>20</v>
      </c>
      <c r="G16" s="12">
        <f>p_P2O5</f>
        <v>0.33</v>
      </c>
      <c r="H16" s="304">
        <f t="shared" si="1"/>
        <v>6.6000000000000005</v>
      </c>
      <c r="I16" s="431"/>
    </row>
    <row r="17" spans="1:15" ht="18.75" x14ac:dyDescent="0.35">
      <c r="A17" s="431" t="s">
        <v>152</v>
      </c>
      <c r="B17" s="4" t="s">
        <v>484</v>
      </c>
      <c r="C17" s="11">
        <v>0</v>
      </c>
      <c r="D17" s="12">
        <f>p_K2O</f>
        <v>0.32</v>
      </c>
      <c r="E17" s="12">
        <f t="shared" si="0"/>
        <v>0</v>
      </c>
      <c r="F17" s="504">
        <v>20</v>
      </c>
      <c r="G17" s="12">
        <f>p_K2O</f>
        <v>0.32</v>
      </c>
      <c r="H17" s="304">
        <f t="shared" si="1"/>
        <v>6.4</v>
      </c>
      <c r="I17" s="431"/>
    </row>
    <row r="18" spans="1:15" ht="15.75" x14ac:dyDescent="0.25">
      <c r="A18" s="431" t="s">
        <v>153</v>
      </c>
      <c r="B18" s="4" t="s">
        <v>154</v>
      </c>
      <c r="C18" s="507">
        <f>q_lime</f>
        <v>0</v>
      </c>
      <c r="D18" s="24">
        <v>0</v>
      </c>
      <c r="E18" s="12">
        <f t="shared" si="0"/>
        <v>0</v>
      </c>
      <c r="F18" s="504">
        <v>0</v>
      </c>
      <c r="G18" s="24">
        <v>0</v>
      </c>
      <c r="H18" s="304">
        <f t="shared" si="1"/>
        <v>0</v>
      </c>
      <c r="I18" s="431"/>
    </row>
    <row r="19" spans="1:15" ht="15.75" x14ac:dyDescent="0.25">
      <c r="A19" s="431" t="s">
        <v>155</v>
      </c>
      <c r="B19" s="4" t="s">
        <v>156</v>
      </c>
      <c r="C19" s="11">
        <f>q_sulfur</f>
        <v>0</v>
      </c>
      <c r="D19" s="12">
        <v>0</v>
      </c>
      <c r="E19" s="12">
        <f t="shared" si="0"/>
        <v>0</v>
      </c>
      <c r="F19" s="504">
        <v>0</v>
      </c>
      <c r="G19" s="12">
        <v>0</v>
      </c>
      <c r="H19" s="304">
        <f t="shared" si="1"/>
        <v>0</v>
      </c>
      <c r="I19" s="431"/>
    </row>
    <row r="20" spans="1:15" ht="16.5" thickBot="1" x14ac:dyDescent="0.3">
      <c r="A20" s="431" t="s">
        <v>157</v>
      </c>
      <c r="B20" s="4" t="s">
        <v>158</v>
      </c>
      <c r="C20" s="11">
        <f>q_boron</f>
        <v>0</v>
      </c>
      <c r="D20" s="12">
        <v>0</v>
      </c>
      <c r="E20" s="12">
        <f t="shared" si="0"/>
        <v>0</v>
      </c>
      <c r="F20" s="508">
        <v>0</v>
      </c>
      <c r="G20" s="12">
        <v>0</v>
      </c>
      <c r="H20" s="304">
        <f t="shared" si="1"/>
        <v>0</v>
      </c>
      <c r="I20" s="431"/>
    </row>
    <row r="21" spans="1:15" ht="16.5" thickBot="1" x14ac:dyDescent="0.3">
      <c r="A21" s="493" t="s">
        <v>16</v>
      </c>
      <c r="B21" s="509"/>
      <c r="C21" s="509"/>
      <c r="D21" s="510"/>
      <c r="E21" s="511">
        <f>SUM(E14:E20)</f>
        <v>22</v>
      </c>
      <c r="F21" s="512"/>
      <c r="G21" s="510"/>
      <c r="H21" s="513">
        <f>SUM(H14:H20)</f>
        <v>35</v>
      </c>
      <c r="I21" s="431"/>
    </row>
    <row r="22" spans="1:15" ht="16.5" customHeight="1" x14ac:dyDescent="0.25">
      <c r="A22" s="764" t="s">
        <v>547</v>
      </c>
      <c r="B22" s="764"/>
      <c r="C22" s="764"/>
      <c r="D22" s="764"/>
      <c r="E22" s="764"/>
      <c r="F22" s="135" t="s">
        <v>293</v>
      </c>
      <c r="G22" s="730" t="s">
        <v>249</v>
      </c>
      <c r="H22" s="82"/>
    </row>
    <row r="23" spans="1:15" ht="33.950000000000003" customHeight="1" x14ac:dyDescent="0.25">
      <c r="A23" s="736" t="s">
        <v>549</v>
      </c>
      <c r="B23" s="736"/>
      <c r="C23" s="736"/>
      <c r="D23" s="736"/>
      <c r="E23" s="736"/>
      <c r="F23" s="726"/>
      <c r="G23" s="726"/>
      <c r="H23" s="726"/>
    </row>
    <row r="24" spans="1:15" ht="15.75" x14ac:dyDescent="0.25">
      <c r="A24" s="2"/>
      <c r="B24" s="2"/>
      <c r="C24" s="2"/>
      <c r="D24" s="2"/>
      <c r="E24" s="2"/>
      <c r="G24" s="2"/>
      <c r="H24" s="2"/>
    </row>
    <row r="25" spans="1:15" x14ac:dyDescent="0.25">
      <c r="A25" s="514"/>
      <c r="B25" s="514"/>
      <c r="C25" s="514"/>
      <c r="D25" s="514"/>
      <c r="E25" s="514"/>
      <c r="F25" s="514"/>
      <c r="G25" s="514"/>
      <c r="H25" s="514"/>
      <c r="I25" s="514"/>
      <c r="J25" s="514"/>
      <c r="K25" s="514"/>
      <c r="L25" s="514"/>
      <c r="M25" s="514"/>
      <c r="N25" s="514"/>
      <c r="O25" s="514"/>
    </row>
    <row r="26" spans="1:15" ht="15.75" x14ac:dyDescent="0.25">
      <c r="A26" s="3" t="s">
        <v>463</v>
      </c>
      <c r="B26" s="2"/>
      <c r="C26" s="2"/>
      <c r="D26" s="2"/>
      <c r="E26" s="2"/>
      <c r="F26" s="2"/>
      <c r="G26" s="2"/>
      <c r="H26" s="2"/>
      <c r="I26" s="2"/>
      <c r="J26" s="2"/>
    </row>
    <row r="27" spans="1:15" ht="16.5" thickBot="1" x14ac:dyDescent="0.3">
      <c r="A27" s="515" t="s">
        <v>159</v>
      </c>
      <c r="B27" s="516" t="s">
        <v>207</v>
      </c>
      <c r="C27" s="516" t="s">
        <v>6</v>
      </c>
      <c r="D27" s="517" t="s">
        <v>160</v>
      </c>
      <c r="E27" s="516" t="s">
        <v>161</v>
      </c>
      <c r="F27" s="517" t="s">
        <v>3</v>
      </c>
      <c r="G27" s="517" t="s">
        <v>4</v>
      </c>
      <c r="H27" s="518" t="s">
        <v>147</v>
      </c>
      <c r="I27" s="762"/>
      <c r="J27" s="763"/>
    </row>
    <row r="28" spans="1:15" ht="15.75" x14ac:dyDescent="0.25">
      <c r="A28" s="519" t="s">
        <v>162</v>
      </c>
      <c r="B28" s="102" t="s">
        <v>208</v>
      </c>
      <c r="C28" s="458" t="s">
        <v>206</v>
      </c>
      <c r="D28" s="11" t="s">
        <v>163</v>
      </c>
      <c r="E28" s="11">
        <v>1</v>
      </c>
      <c r="F28" s="11">
        <v>0</v>
      </c>
      <c r="G28" s="520">
        <f>p_broadleaf_herbicide</f>
        <v>27.5</v>
      </c>
      <c r="H28" s="521">
        <f>G28*F28</f>
        <v>0</v>
      </c>
      <c r="I28" s="13"/>
      <c r="J28" s="13"/>
    </row>
    <row r="29" spans="1:15" ht="15.75" x14ac:dyDescent="0.25">
      <c r="A29" s="519"/>
      <c r="B29" s="102" t="s">
        <v>66</v>
      </c>
      <c r="C29" s="210" t="s">
        <v>209</v>
      </c>
      <c r="D29" s="11" t="s">
        <v>123</v>
      </c>
      <c r="E29" s="11">
        <v>1</v>
      </c>
      <c r="F29" s="11">
        <f>q_preharvest_herbicide</f>
        <v>0</v>
      </c>
      <c r="G29" s="520">
        <f>p_preharvest_herbicide</f>
        <v>17.5</v>
      </c>
      <c r="H29" s="521">
        <f>G29*F29</f>
        <v>0</v>
      </c>
      <c r="I29" s="13"/>
      <c r="J29" s="13"/>
    </row>
    <row r="30" spans="1:15" ht="15.75" x14ac:dyDescent="0.25">
      <c r="A30" s="519" t="s">
        <v>166</v>
      </c>
      <c r="B30" s="102"/>
      <c r="C30" s="102" t="s">
        <v>210</v>
      </c>
      <c r="D30" s="11" t="s">
        <v>123</v>
      </c>
      <c r="E30" s="11">
        <v>1</v>
      </c>
      <c r="F30" s="11">
        <f>q_insecticide</f>
        <v>0</v>
      </c>
      <c r="G30" s="12">
        <f>p_insecticide</f>
        <v>5</v>
      </c>
      <c r="H30" s="521">
        <f>E30*F30*G30</f>
        <v>0</v>
      </c>
      <c r="I30" s="13"/>
      <c r="J30" s="13"/>
    </row>
    <row r="31" spans="1:15" ht="16.5" thickBot="1" x14ac:dyDescent="0.3">
      <c r="A31" s="522" t="s">
        <v>167</v>
      </c>
      <c r="B31" s="523"/>
      <c r="C31" s="523" t="s">
        <v>211</v>
      </c>
      <c r="D31" s="524" t="s">
        <v>123</v>
      </c>
      <c r="E31" s="524">
        <v>1</v>
      </c>
      <c r="F31" s="524">
        <f>q_fungicide</f>
        <v>0</v>
      </c>
      <c r="G31" s="525">
        <f>p_fungicide</f>
        <v>9</v>
      </c>
      <c r="H31" s="526">
        <f>E31*F31*G31</f>
        <v>0</v>
      </c>
      <c r="I31" s="13"/>
      <c r="J31" s="13"/>
    </row>
    <row r="32" spans="1:15" ht="16.5" thickBot="1" x14ac:dyDescent="0.3">
      <c r="A32" s="493" t="s">
        <v>16</v>
      </c>
      <c r="B32" s="509"/>
      <c r="C32" s="509"/>
      <c r="D32" s="509"/>
      <c r="E32" s="509"/>
      <c r="F32" s="527"/>
      <c r="G32" s="510"/>
      <c r="H32" s="511">
        <f>SUM(H28:H31)</f>
        <v>0</v>
      </c>
      <c r="I32" s="13"/>
      <c r="J32" s="13"/>
    </row>
    <row r="35" spans="1:13" ht="16.5" thickBot="1" x14ac:dyDescent="0.3">
      <c r="A35" s="446" t="s">
        <v>544</v>
      </c>
    </row>
    <row r="36" spans="1:13" ht="45" customHeight="1" thickBot="1" x14ac:dyDescent="0.3">
      <c r="A36" s="626" t="s">
        <v>370</v>
      </c>
      <c r="B36" s="550" t="s">
        <v>75</v>
      </c>
      <c r="C36" s="550" t="s">
        <v>168</v>
      </c>
      <c r="D36" s="550" t="s">
        <v>169</v>
      </c>
      <c r="E36" s="550" t="s">
        <v>170</v>
      </c>
      <c r="F36" s="550" t="s">
        <v>239</v>
      </c>
      <c r="G36" s="550" t="s">
        <v>171</v>
      </c>
      <c r="H36" s="550" t="s">
        <v>172</v>
      </c>
      <c r="I36" s="550" t="s">
        <v>0</v>
      </c>
      <c r="J36" s="550" t="s">
        <v>238</v>
      </c>
      <c r="K36" s="551" t="s">
        <v>16</v>
      </c>
      <c r="L36" s="484"/>
      <c r="M36" s="528"/>
    </row>
    <row r="37" spans="1:13" ht="18.600000000000001" customHeight="1" x14ac:dyDescent="0.25">
      <c r="A37" s="529" t="s">
        <v>373</v>
      </c>
      <c r="B37" s="490" t="str">
        <f>'Farm Machinery'!$B$5</f>
        <v>Sprayer, S.P,, 90` boom</v>
      </c>
      <c r="C37" s="530"/>
      <c r="D37" s="491" t="s">
        <v>288</v>
      </c>
      <c r="E37" s="492">
        <f>'Farm Machinery Cost Calculation'!$Q$14*Management!$E$4</f>
        <v>0</v>
      </c>
      <c r="F37" s="492">
        <f>'Farm Machinery Cost Calculation'!$Q$15*Management!E4</f>
        <v>0</v>
      </c>
      <c r="G37" s="492">
        <f>'Farm Machinery Cost Calculation'!$Q$12*Management!$E$4</f>
        <v>0</v>
      </c>
      <c r="H37" s="492">
        <f>('Farm Machinery Cost Calculation'!$Q$10+'Farm Machinery Cost Calculation'!Q11)*Management!$E$4</f>
        <v>0</v>
      </c>
      <c r="I37" s="492">
        <f>farm_labor_cost*Management!F4</f>
        <v>0</v>
      </c>
      <c r="J37" s="627">
        <f>(G37+H37+I37)*nom_interest/2</f>
        <v>0</v>
      </c>
      <c r="K37" s="531">
        <f>SUM(E37:J37)</f>
        <v>0</v>
      </c>
      <c r="L37" s="625"/>
      <c r="M37" s="145"/>
    </row>
    <row r="38" spans="1:13" ht="18.600000000000001" customHeight="1" x14ac:dyDescent="0.25">
      <c r="A38" s="532" t="s">
        <v>372</v>
      </c>
      <c r="B38" s="533" t="s">
        <v>81</v>
      </c>
      <c r="C38" s="534" t="str">
        <f>'Farm Machinery'!B17</f>
        <v>Fertilizer Spreader</v>
      </c>
      <c r="D38" s="452" t="s">
        <v>8</v>
      </c>
      <c r="E38" s="535">
        <f>('Farm Machinery Cost Calculation'!H14+'Farm Machinery Cost Calculation'!BA14)*Management!E5</f>
        <v>2.3257830557699073</v>
      </c>
      <c r="F38" s="535">
        <f>'Farm Machinery Cost Calculation'!H15*E5+'Farm Machinery Cost Calculation'!BA15*Management!E5</f>
        <v>0.48015873015873028</v>
      </c>
      <c r="G38" s="535">
        <f>('Farm Machinery Cost Calculation'!H12+'Farm Machinery Cost Calculation'!BA12)*Management!E5</f>
        <v>2.0052251209532868</v>
      </c>
      <c r="H38" s="535">
        <f>('Farm Machinery Cost Calculation'!H10+'Farm Machinery Cost Calculation'!H11+'Farm Machinery Cost Calculation'!BA10+'Farm Machinery Cost Calculation'!BA11)*Management!E5</f>
        <v>1.7934397833673474</v>
      </c>
      <c r="I38" s="535">
        <f>farm_labor_cost*Management!F5</f>
        <v>1.0438775510204086</v>
      </c>
      <c r="J38" s="628">
        <f>(G38+H38+I38)*nom_interest/2</f>
        <v>0.1452762736602313</v>
      </c>
      <c r="K38" s="457">
        <f t="shared" ref="K38:K41" si="2">SUM(E38:J38)</f>
        <v>7.793760514929911</v>
      </c>
      <c r="L38" s="625"/>
      <c r="M38" s="145"/>
    </row>
    <row r="39" spans="1:13" ht="15.75" x14ac:dyDescent="0.25">
      <c r="A39" s="453" t="s">
        <v>178</v>
      </c>
      <c r="B39" s="458" t="str">
        <f>'Farm Machinery'!$B$5</f>
        <v>Sprayer, S.P,, 90` boom</v>
      </c>
      <c r="C39" s="434"/>
      <c r="D39" s="266" t="s">
        <v>288</v>
      </c>
      <c r="E39" s="456">
        <f>('Farm Machinery Cost Calculation'!$H$14+'Farm Machinery Cost Calculation'!$Q$14)*Management!E6</f>
        <v>0</v>
      </c>
      <c r="F39" s="456">
        <f>('Farm Machinery Cost Calculation'!$H$15+'Farm Machinery Cost Calculation'!$Q$15)*Management!E6</f>
        <v>0</v>
      </c>
      <c r="G39" s="456">
        <f>('Farm Machinery Cost Calculation'!$H$12+'Farm Machinery Cost Calculation'!$Q$12)*Management!E6</f>
        <v>0</v>
      </c>
      <c r="H39" s="456">
        <f>('Farm Machinery Cost Calculation'!$Q$10+'Farm Machinery Cost Calculation'!Q11)*Management!$E$4</f>
        <v>0</v>
      </c>
      <c r="I39" s="456">
        <f>F6*farm_labor_cost</f>
        <v>0</v>
      </c>
      <c r="J39" s="628">
        <f>(G39+H39+I39)*nom_interest/2</f>
        <v>0</v>
      </c>
      <c r="K39" s="457">
        <f t="shared" si="2"/>
        <v>0</v>
      </c>
      <c r="L39" s="624"/>
      <c r="M39" s="102"/>
    </row>
    <row r="40" spans="1:13" ht="15.75" x14ac:dyDescent="0.25">
      <c r="A40" s="453" t="s">
        <v>179</v>
      </c>
      <c r="B40" s="458" t="str">
        <f>'Farm Machinery'!$B$5</f>
        <v>Sprayer, S.P,, 90` boom</v>
      </c>
      <c r="C40" s="434"/>
      <c r="D40" s="266" t="s">
        <v>288</v>
      </c>
      <c r="E40" s="456">
        <f>('Farm Machinery Cost Calculation'!$H$14+'Farm Machinery Cost Calculation'!$Q$14)*Management!E7</f>
        <v>0</v>
      </c>
      <c r="F40" s="456">
        <f>('Farm Machinery Cost Calculation'!$H$15+'Farm Machinery Cost Calculation'!$Q$15)*Management!E7</f>
        <v>0</v>
      </c>
      <c r="G40" s="456">
        <f>('Farm Machinery Cost Calculation'!$H$12+'Farm Machinery Cost Calculation'!$Q$12)*Management!E7</f>
        <v>0</v>
      </c>
      <c r="H40" s="456">
        <f>('Farm Machinery Cost Calculation'!$Q$10+'Farm Machinery Cost Calculation'!Q11)*Management!$E$4</f>
        <v>0</v>
      </c>
      <c r="I40" s="456">
        <f>F7*farm_labor_cost</f>
        <v>0</v>
      </c>
      <c r="J40" s="628">
        <f>(G40+H40+I40)*nom_interest/2</f>
        <v>0</v>
      </c>
      <c r="K40" s="457">
        <f t="shared" si="2"/>
        <v>0</v>
      </c>
      <c r="L40" s="624"/>
      <c r="M40" s="102"/>
    </row>
    <row r="41" spans="1:13" ht="16.5" thickBot="1" x14ac:dyDescent="0.3">
      <c r="A41" s="478" t="s">
        <v>206</v>
      </c>
      <c r="B41" s="479" t="str">
        <f>'Farm Machinery'!$B$5</f>
        <v>Sprayer, S.P,, 90` boom</v>
      </c>
      <c r="C41" s="480"/>
      <c r="D41" s="67" t="s">
        <v>288</v>
      </c>
      <c r="E41" s="481">
        <f>('Farm Machinery Cost Calculation'!$H$14+'Farm Machinery Cost Calculation'!$Q$14)*Management!E8</f>
        <v>0</v>
      </c>
      <c r="F41" s="481">
        <f>('Farm Machinery Cost Calculation'!$H$15+'Farm Machinery Cost Calculation'!$Q$15)*Management!E8</f>
        <v>0</v>
      </c>
      <c r="G41" s="481">
        <f>('Farm Machinery Cost Calculation'!$H$12+'Farm Machinery Cost Calculation'!$Q$12)*Management!E8</f>
        <v>0</v>
      </c>
      <c r="H41" s="481">
        <f>('Farm Machinery Cost Calculation'!$Q$10+'Farm Machinery Cost Calculation'!Q11)*Management!$E$4</f>
        <v>0</v>
      </c>
      <c r="I41" s="481">
        <f>F8*farm_labor_cost</f>
        <v>0</v>
      </c>
      <c r="J41" s="629">
        <f>(G41+H41+I41)*nom_interest/2</f>
        <v>0</v>
      </c>
      <c r="K41" s="482">
        <f t="shared" si="2"/>
        <v>0</v>
      </c>
      <c r="L41" s="624"/>
      <c r="M41" s="266"/>
    </row>
    <row r="42" spans="1:13" ht="16.5" thickBot="1" x14ac:dyDescent="0.3">
      <c r="A42" s="463" t="s">
        <v>16</v>
      </c>
      <c r="B42" s="464"/>
      <c r="C42" s="465"/>
      <c r="D42" s="466"/>
      <c r="E42" s="467">
        <f t="shared" ref="E42:K42" si="3">SUM(E37:E41)</f>
        <v>2.3257830557699073</v>
      </c>
      <c r="F42" s="467">
        <f>SUM(F37:F41)</f>
        <v>0.48015873015873028</v>
      </c>
      <c r="G42" s="467">
        <f t="shared" si="3"/>
        <v>2.0052251209532868</v>
      </c>
      <c r="H42" s="467">
        <f t="shared" si="3"/>
        <v>1.7934397833673474</v>
      </c>
      <c r="I42" s="467">
        <f>SUM(I37:I41)</f>
        <v>1.0438775510204086</v>
      </c>
      <c r="J42" s="630">
        <f>SUM(J37:J41)</f>
        <v>0.1452762736602313</v>
      </c>
      <c r="K42" s="468">
        <f t="shared" si="3"/>
        <v>7.793760514929911</v>
      </c>
      <c r="L42" s="624"/>
      <c r="M42" s="102"/>
    </row>
    <row r="44" spans="1:13" ht="15.75" x14ac:dyDescent="0.25">
      <c r="E44" s="536"/>
      <c r="F44" s="536"/>
      <c r="G44" s="536"/>
      <c r="H44" s="536"/>
      <c r="I44" s="536"/>
      <c r="J44" s="456"/>
      <c r="K44" s="124"/>
    </row>
    <row r="45" spans="1:13" s="145" customFormat="1" x14ac:dyDescent="0.25">
      <c r="A45" s="537"/>
      <c r="B45" s="537"/>
      <c r="C45" s="537"/>
      <c r="D45" s="537"/>
      <c r="E45" s="537"/>
      <c r="F45" s="538"/>
      <c r="I45" s="539"/>
    </row>
    <row r="46" spans="1:13" s="145" customFormat="1" x14ac:dyDescent="0.25">
      <c r="A46" s="537"/>
      <c r="B46" s="537"/>
      <c r="C46" s="537"/>
      <c r="D46" s="537"/>
      <c r="E46" s="537"/>
      <c r="F46" s="537"/>
    </row>
  </sheetData>
  <mergeCells count="3">
    <mergeCell ref="I27:J27"/>
    <mergeCell ref="A22:E22"/>
    <mergeCell ref="A23:E23"/>
  </mergeCells>
  <hyperlinks>
    <hyperlink ref="G22" r:id="rId1" xr:uid="{00000000-0004-0000-0600-000000000000}"/>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7"/>
  <sheetViews>
    <sheetView topLeftCell="A38" zoomScaleNormal="100" workbookViewId="0">
      <selection activeCell="E49" sqref="E49"/>
    </sheetView>
  </sheetViews>
  <sheetFormatPr defaultColWidth="9.140625" defaultRowHeight="15.75" x14ac:dyDescent="0.25"/>
  <cols>
    <col min="1" max="1" width="16.7109375" style="2" bestFit="1" customWidth="1"/>
    <col min="2" max="2" width="22.140625" style="2" customWidth="1"/>
    <col min="3" max="3" width="17.28515625" style="2" bestFit="1" customWidth="1"/>
    <col min="4" max="4" width="17.28515625" style="2" customWidth="1"/>
    <col min="5" max="5" width="10.28515625" style="2" customWidth="1"/>
    <col min="6" max="7" width="12.5703125" style="2" customWidth="1"/>
    <col min="8" max="8" width="15.140625" style="2" customWidth="1"/>
    <col min="9" max="9" width="11.140625" style="2" customWidth="1"/>
    <col min="10" max="10" width="11.85546875" style="2" customWidth="1"/>
    <col min="11" max="11" width="10.42578125" style="2" customWidth="1"/>
    <col min="12" max="12" width="10.28515625" style="2" customWidth="1"/>
    <col min="13" max="16384" width="9.140625" style="2"/>
  </cols>
  <sheetData>
    <row r="1" spans="1:13" ht="16.5" thickBot="1" x14ac:dyDescent="0.3">
      <c r="A1" s="9" t="s">
        <v>268</v>
      </c>
      <c r="B1" s="9"/>
      <c r="C1" s="9"/>
      <c r="D1" s="9"/>
      <c r="E1" s="9"/>
      <c r="F1" s="9"/>
    </row>
    <row r="2" spans="1:13" x14ac:dyDescent="0.25">
      <c r="A2" s="420"/>
      <c r="B2" s="421"/>
      <c r="C2" s="421"/>
      <c r="D2" s="421"/>
      <c r="E2" s="422" t="s">
        <v>15</v>
      </c>
      <c r="F2" s="423" t="s">
        <v>0</v>
      </c>
    </row>
    <row r="3" spans="1:13" ht="16.5" thickBot="1" x14ac:dyDescent="0.3">
      <c r="A3" s="424" t="s">
        <v>54</v>
      </c>
      <c r="B3" s="425" t="s">
        <v>13</v>
      </c>
      <c r="C3" s="426" t="s">
        <v>75</v>
      </c>
      <c r="D3" s="427" t="s">
        <v>168</v>
      </c>
      <c r="E3" s="425" t="s">
        <v>528</v>
      </c>
      <c r="F3" s="428" t="s">
        <v>528</v>
      </c>
    </row>
    <row r="4" spans="1:13" ht="18" x14ac:dyDescent="0.25">
      <c r="A4" s="4" t="s">
        <v>56</v>
      </c>
      <c r="B4" s="4" t="s">
        <v>363</v>
      </c>
      <c r="C4" s="4" t="str">
        <f>'Farm Machinery'!$B$5</f>
        <v>Sprayer, S.P,, 90` boom</v>
      </c>
      <c r="D4" s="33"/>
      <c r="E4" s="429">
        <f>1/'Farm Machinery'!$L$5*0</f>
        <v>0</v>
      </c>
      <c r="F4" s="430">
        <f>labor_factor_machine*E4</f>
        <v>0</v>
      </c>
    </row>
    <row r="5" spans="1:13" ht="18" x14ac:dyDescent="0.25">
      <c r="A5" s="431" t="s">
        <v>56</v>
      </c>
      <c r="B5" s="432" t="s">
        <v>364</v>
      </c>
      <c r="C5" s="244" t="s">
        <v>180</v>
      </c>
      <c r="D5" s="102" t="s">
        <v>181</v>
      </c>
      <c r="E5" s="260">
        <f>1/Machine14_Acre_Hour</f>
        <v>9.8214285714285712E-2</v>
      </c>
      <c r="F5" s="433">
        <f>labor_factor_machine*E5</f>
        <v>0.12276785714285714</v>
      </c>
    </row>
    <row r="6" spans="1:13" ht="18" x14ac:dyDescent="0.25">
      <c r="A6" s="431"/>
      <c r="B6" s="432" t="s">
        <v>365</v>
      </c>
      <c r="C6" s="244" t="s">
        <v>218</v>
      </c>
      <c r="D6" s="434" t="s">
        <v>183</v>
      </c>
      <c r="E6" s="260">
        <f>1/Machine14_Acre_Hour</f>
        <v>9.8214285714285712E-2</v>
      </c>
      <c r="F6" s="433">
        <f>labor_factor_machine*E6</f>
        <v>0.12276785714285714</v>
      </c>
    </row>
    <row r="7" spans="1:13" ht="18.75" thickBot="1" x14ac:dyDescent="0.3">
      <c r="A7" s="435"/>
      <c r="B7" s="436" t="s">
        <v>366</v>
      </c>
      <c r="C7" s="437" t="str">
        <f>'Farm Machinery'!B12</f>
        <v>Semi-Tractor/Trailer</v>
      </c>
      <c r="D7" s="437"/>
      <c r="E7" s="438">
        <f>1/Machine14_Acre_Hour</f>
        <v>9.8214285714285712E-2</v>
      </c>
      <c r="F7" s="439">
        <f>labor_factor_machine*E7</f>
        <v>0.12276785714285714</v>
      </c>
    </row>
    <row r="8" spans="1:13" ht="16.5" thickBot="1" x14ac:dyDescent="0.3">
      <c r="A8" s="440" t="s">
        <v>16</v>
      </c>
      <c r="B8" s="441"/>
      <c r="C8" s="441"/>
      <c r="D8" s="441"/>
      <c r="E8" s="442">
        <f>SUM(E5:E7)</f>
        <v>0.29464285714285715</v>
      </c>
      <c r="F8" s="443">
        <f>SUM(F5:F7)</f>
        <v>0.3683035714285714</v>
      </c>
    </row>
    <row r="9" spans="1:13" ht="18" x14ac:dyDescent="0.25">
      <c r="A9" s="4" t="s">
        <v>367</v>
      </c>
      <c r="B9" s="3"/>
      <c r="C9" s="3"/>
      <c r="D9" s="3"/>
      <c r="E9" s="444"/>
      <c r="F9" s="445"/>
    </row>
    <row r="10" spans="1:13" ht="18" x14ac:dyDescent="0.25">
      <c r="A10" s="4" t="s">
        <v>368</v>
      </c>
      <c r="B10" s="3"/>
      <c r="C10" s="3"/>
      <c r="D10" s="3"/>
      <c r="E10" s="444"/>
      <c r="F10" s="445"/>
    </row>
    <row r="11" spans="1:13" ht="18" x14ac:dyDescent="0.25">
      <c r="A11" s="4" t="s">
        <v>369</v>
      </c>
      <c r="B11" s="3"/>
      <c r="C11" s="3"/>
      <c r="D11" s="3"/>
      <c r="E11" s="444"/>
      <c r="F11" s="445"/>
    </row>
    <row r="12" spans="1:13" x14ac:dyDescent="0.25">
      <c r="A12" s="4"/>
      <c r="B12" s="3"/>
      <c r="C12" s="3"/>
      <c r="D12" s="3"/>
      <c r="E12" s="444"/>
      <c r="F12" s="445"/>
    </row>
    <row r="13" spans="1:13" x14ac:dyDescent="0.25">
      <c r="B13" s="3"/>
      <c r="C13" s="3"/>
      <c r="D13" s="3"/>
      <c r="E13" s="444"/>
      <c r="F13" s="445"/>
    </row>
    <row r="14" spans="1:13" ht="16.5" thickBot="1" x14ac:dyDescent="0.3">
      <c r="A14" s="446" t="s">
        <v>529</v>
      </c>
      <c r="B14" s="446"/>
      <c r="C14" s="446"/>
      <c r="D14" s="446"/>
      <c r="E14" s="446"/>
      <c r="F14" s="446"/>
      <c r="G14" s="446"/>
      <c r="H14" s="446"/>
      <c r="I14" s="446"/>
      <c r="J14" s="446"/>
      <c r="K14" s="446"/>
      <c r="L14" s="9"/>
    </row>
    <row r="15" spans="1:13" ht="48" customHeight="1" thickBot="1" x14ac:dyDescent="0.3">
      <c r="A15" s="447"/>
      <c r="B15" s="448" t="s">
        <v>75</v>
      </c>
      <c r="C15" s="449" t="s">
        <v>168</v>
      </c>
      <c r="D15" s="450" t="s">
        <v>169</v>
      </c>
      <c r="E15" s="450" t="s">
        <v>170</v>
      </c>
      <c r="F15" s="450" t="s">
        <v>239</v>
      </c>
      <c r="G15" s="450" t="s">
        <v>171</v>
      </c>
      <c r="H15" s="450" t="s">
        <v>172</v>
      </c>
      <c r="I15" s="450" t="s">
        <v>0</v>
      </c>
      <c r="J15" s="450" t="s">
        <v>238</v>
      </c>
      <c r="K15" s="451" t="s">
        <v>16</v>
      </c>
      <c r="L15" s="452"/>
      <c r="M15" s="266"/>
    </row>
    <row r="16" spans="1:13" x14ac:dyDescent="0.25">
      <c r="A16" s="453" t="s">
        <v>66</v>
      </c>
      <c r="B16" s="454" t="s">
        <v>180</v>
      </c>
      <c r="C16" s="102" t="s">
        <v>181</v>
      </c>
      <c r="D16" s="455" t="s">
        <v>182</v>
      </c>
      <c r="E16" s="456">
        <f>('Farm Machinery Cost Calculation'!AR14+'Farm Machinery Cost Calculation'!AU14)*'Harvest &amp; Transportation'!$E$5</f>
        <v>11.077549969903526</v>
      </c>
      <c r="F16" s="456">
        <f>('Farm Machinery Cost Calculation'!$AR$15+'Farm Machinery Cost Calculation'!$AU$15)*'Harvest &amp; Transportation'!E5</f>
        <v>1.637415337313965</v>
      </c>
      <c r="G16" s="456">
        <f>('Farm Machinery Cost Calculation'!AR12+'Farm Machinery Cost Calculation'!AU12)*'Harvest &amp; Transportation'!E5</f>
        <v>4.8953849685257458</v>
      </c>
      <c r="H16" s="456">
        <f>('Farm Machinery Cost Calculation'!AR10+'Farm Machinery Cost Calculation'!AR11+'Farm Machinery Cost Calculation'!AU10+'Farm Machinery Cost Calculation'!AU11)*'Harvest &amp; Transportation'!E5</f>
        <v>5.4741621294642862</v>
      </c>
      <c r="I16" s="456">
        <f>farm_labor_cost*F5</f>
        <v>1.5223214285714286</v>
      </c>
      <c r="J16" s="456">
        <f>(G16+H16+I16)*nom_interest/2</f>
        <v>0.35675605579684383</v>
      </c>
      <c r="K16" s="457">
        <f>SUM(E16:J16)</f>
        <v>24.963589889575793</v>
      </c>
      <c r="L16" s="631"/>
      <c r="M16" s="266"/>
    </row>
    <row r="17" spans="1:13" x14ac:dyDescent="0.25">
      <c r="A17" s="453" t="s">
        <v>173</v>
      </c>
      <c r="B17" s="458" t="s">
        <v>175</v>
      </c>
      <c r="C17" s="434" t="s">
        <v>183</v>
      </c>
      <c r="D17" s="266"/>
      <c r="E17" s="456">
        <f>('Farm Machinery Cost Calculation'!H14+'Farm Machinery Cost Calculation'!AX14)*'Harvest &amp; Transportation'!E6</f>
        <v>2.7630022032692936</v>
      </c>
      <c r="F17" s="456">
        <f>('Farm Machinery Cost Calculation'!$H15+'Farm Machinery Cost Calculation'!$AX15)*'Harvest &amp; Transportation'!$E$6</f>
        <v>0.55933536078186741</v>
      </c>
      <c r="G17" s="456">
        <f>('Farm Machinery Cost Calculation'!H12+'Farm Machinery Cost Calculation'!AX12)*'Harvest &amp; Transportation'!E6</f>
        <v>2.4549051240400082</v>
      </c>
      <c r="H17" s="456">
        <f>('Farm Machinery Cost Calculation'!$H10+'Farm Machinery Cost Calculation'!$H11+'Farm Machinery Cost Calculation'!$AX10+'Farm Machinery Cost Calculation'!$AX11)*'Harvest &amp; Transportation'!$E$6</f>
        <v>2.6154330174107145</v>
      </c>
      <c r="I17" s="456">
        <f>farm_labor_cost*F6</f>
        <v>1.5223214285714286</v>
      </c>
      <c r="J17" s="456">
        <f>(G17+H17+I17)*nom_interest/2</f>
        <v>0.19777978710066454</v>
      </c>
      <c r="K17" s="457">
        <f t="shared" ref="K17:K18" si="0">SUM(E17:J17)</f>
        <v>10.112776921173976</v>
      </c>
      <c r="L17" s="631"/>
      <c r="M17" s="456"/>
    </row>
    <row r="18" spans="1:13" ht="16.5" thickBot="1" x14ac:dyDescent="0.3">
      <c r="A18" s="459" t="s">
        <v>173</v>
      </c>
      <c r="B18" s="460" t="s">
        <v>174</v>
      </c>
      <c r="C18" s="461"/>
      <c r="D18" s="462" t="s">
        <v>219</v>
      </c>
      <c r="E18" s="456">
        <f>('Farm Machinery Cost Calculation'!AL14)*'Harvest &amp; Transportation'!E7</f>
        <v>0.9162327289189538</v>
      </c>
      <c r="F18" s="456">
        <f>('Farm Machinery Cost Calculation'!$AL15)*'Harvest &amp; Transportation'!$E$7</f>
        <v>0.24741878059635061</v>
      </c>
      <c r="G18" s="456">
        <f>('Farm Machinery Cost Calculation'!AL12)*'Harvest &amp; Transportation'!E7</f>
        <v>2.2413230712845884</v>
      </c>
      <c r="H18" s="456">
        <f>('Farm Machinery Cost Calculation'!$AL11)*'Harvest &amp; Transportation'!$E$7</f>
        <v>0.88927267098214269</v>
      </c>
      <c r="I18" s="456">
        <f>truck_labor_cost*F7</f>
        <v>2.9046875000000001</v>
      </c>
      <c r="J18" s="456">
        <f>(G18+H18+I18)*nom_interest/2</f>
        <v>0.18105849726800191</v>
      </c>
      <c r="K18" s="457">
        <f t="shared" si="0"/>
        <v>7.3799932490500373</v>
      </c>
      <c r="L18" s="631"/>
      <c r="M18" s="266"/>
    </row>
    <row r="19" spans="1:13" ht="16.5" thickBot="1" x14ac:dyDescent="0.3">
      <c r="A19" s="463" t="s">
        <v>16</v>
      </c>
      <c r="B19" s="464"/>
      <c r="C19" s="465"/>
      <c r="D19" s="466"/>
      <c r="E19" s="467">
        <f t="shared" ref="E19:K19" si="1">SUM(E16:E18)</f>
        <v>14.756784902091773</v>
      </c>
      <c r="F19" s="467">
        <f>SUM(F16:F18)</f>
        <v>2.4441694786921833</v>
      </c>
      <c r="G19" s="467">
        <f t="shared" si="1"/>
        <v>9.5916131638503419</v>
      </c>
      <c r="H19" s="467">
        <f t="shared" si="1"/>
        <v>8.9788678178571431</v>
      </c>
      <c r="I19" s="467">
        <f t="shared" si="1"/>
        <v>5.9493303571428573</v>
      </c>
      <c r="J19" s="467">
        <f t="shared" si="1"/>
        <v>0.73559434016551029</v>
      </c>
      <c r="K19" s="468">
        <f t="shared" si="1"/>
        <v>42.456360059799806</v>
      </c>
      <c r="L19" s="631"/>
      <c r="M19" s="266"/>
    </row>
    <row r="22" spans="1:13" ht="16.5" thickBot="1" x14ac:dyDescent="0.3">
      <c r="A22" s="3" t="s">
        <v>491</v>
      </c>
      <c r="B22" s="4"/>
      <c r="C22" s="4"/>
      <c r="D22" s="4"/>
    </row>
    <row r="23" spans="1:13" x14ac:dyDescent="0.25">
      <c r="A23" s="469"/>
      <c r="B23" s="470" t="s">
        <v>246</v>
      </c>
      <c r="C23" s="421"/>
      <c r="D23" s="471" t="s">
        <v>247</v>
      </c>
      <c r="F23" s="50"/>
    </row>
    <row r="24" spans="1:13" ht="16.5" thickBot="1" x14ac:dyDescent="0.3">
      <c r="A24" s="435" t="s">
        <v>1</v>
      </c>
      <c r="B24" s="543" t="s">
        <v>248</v>
      </c>
      <c r="C24" s="543" t="s">
        <v>245</v>
      </c>
      <c r="D24" s="698" t="s">
        <v>248</v>
      </c>
      <c r="F24" s="472"/>
    </row>
    <row r="25" spans="1:13" x14ac:dyDescent="0.25">
      <c r="A25" s="469" t="s">
        <v>250</v>
      </c>
      <c r="B25" s="421">
        <f>25*2</f>
        <v>50</v>
      </c>
      <c r="C25" s="421">
        <f>50*2</f>
        <v>100</v>
      </c>
      <c r="D25" s="711">
        <f>100*2</f>
        <v>200</v>
      </c>
      <c r="G25" s="49"/>
    </row>
    <row r="26" spans="1:13" x14ac:dyDescent="0.25">
      <c r="A26" s="473" t="s">
        <v>251</v>
      </c>
      <c r="B26" s="244">
        <f>B25/35</f>
        <v>1.4285714285714286</v>
      </c>
      <c r="C26" s="119">
        <f>transport_semitractor</f>
        <v>2.8571428571428572</v>
      </c>
      <c r="D26" s="474">
        <f>D25/35</f>
        <v>5.7142857142857144</v>
      </c>
      <c r="E26" s="34"/>
      <c r="G26" s="49"/>
    </row>
    <row r="27" spans="1:13" x14ac:dyDescent="0.25">
      <c r="A27" s="718" t="s">
        <v>538</v>
      </c>
      <c r="B27" s="244">
        <f>'Farm Machinery Cost Calculation'!AL20+truck_labor_cost</f>
        <v>130.51313297487312</v>
      </c>
      <c r="C27" s="244">
        <f>'Farm Machinery Cost Calculation'!AL20+truck_labor_cost</f>
        <v>130.51313297487312</v>
      </c>
      <c r="D27" s="475">
        <f>'Farm Machinery Cost Calculation'!AL20+truck_labor_cost</f>
        <v>130.51313297487312</v>
      </c>
      <c r="E27" s="476"/>
    </row>
    <row r="28" spans="1:13" x14ac:dyDescent="0.25">
      <c r="A28" s="712" t="s">
        <v>539</v>
      </c>
      <c r="B28" s="244">
        <f>B26*B27+K18</f>
        <v>193.82732607029735</v>
      </c>
      <c r="C28" s="244">
        <f>C26*C27+K18</f>
        <v>380.27465889154462</v>
      </c>
      <c r="D28" s="474">
        <f>D26*D27+K18</f>
        <v>753.16932453403922</v>
      </c>
      <c r="E28" s="34"/>
    </row>
    <row r="29" spans="1:13" x14ac:dyDescent="0.25">
      <c r="A29" s="712" t="s">
        <v>540</v>
      </c>
      <c r="B29" s="262">
        <f>pennycress_pounds_bushel*semi_tractor_capacity</f>
        <v>40000</v>
      </c>
      <c r="C29" s="262">
        <f>pennycress_pounds_bushel*semi_tractor_capacity</f>
        <v>40000</v>
      </c>
      <c r="D29" s="477">
        <f>pennycress_pounds_bushel*semi_tractor_capacity</f>
        <v>40000</v>
      </c>
      <c r="E29" s="34"/>
    </row>
    <row r="30" spans="1:13" x14ac:dyDescent="0.25">
      <c r="A30" s="712" t="s">
        <v>196</v>
      </c>
      <c r="B30" s="710">
        <f>B28/B29</f>
        <v>4.8456831517574338E-3</v>
      </c>
      <c r="C30" s="710">
        <f>C28/C29</f>
        <v>9.5068664722886154E-3</v>
      </c>
      <c r="D30" s="433">
        <f>D28/D29</f>
        <v>1.8829233113350982E-2</v>
      </c>
      <c r="E30" s="34"/>
    </row>
    <row r="31" spans="1:13" ht="16.5" thickBot="1" x14ac:dyDescent="0.3">
      <c r="A31" s="713" t="s">
        <v>126</v>
      </c>
      <c r="B31" s="714">
        <f>B28/B29*pennycress_yield</f>
        <v>7.7530930428118943</v>
      </c>
      <c r="C31" s="714">
        <f>C28/C29*pennycress_yield</f>
        <v>15.210986355661785</v>
      </c>
      <c r="D31" s="715">
        <f>D28/D29*pennycress_yield</f>
        <v>30.126772981361572</v>
      </c>
      <c r="E31" s="34"/>
    </row>
    <row r="32" spans="1:13" x14ac:dyDescent="0.25">
      <c r="A32" s="33" t="s">
        <v>252</v>
      </c>
    </row>
    <row r="33" spans="1:12" x14ac:dyDescent="0.25">
      <c r="A33" s="2" t="s">
        <v>259</v>
      </c>
    </row>
    <row r="36" spans="1:12" ht="16.5" thickBot="1" x14ac:dyDescent="0.3">
      <c r="A36" s="446" t="s">
        <v>530</v>
      </c>
      <c r="B36" s="446"/>
      <c r="C36" s="446"/>
      <c r="D36" s="446"/>
      <c r="E36" s="446"/>
      <c r="F36" s="446"/>
      <c r="G36" s="446"/>
      <c r="H36" s="446"/>
      <c r="I36" s="446"/>
      <c r="J36" s="446"/>
      <c r="K36" s="446"/>
      <c r="L36" s="446"/>
    </row>
    <row r="37" spans="1:12" ht="48" thickBot="1" x14ac:dyDescent="0.3">
      <c r="A37" s="447" t="s">
        <v>13</v>
      </c>
      <c r="B37" s="448" t="s">
        <v>75</v>
      </c>
      <c r="C37" s="449" t="s">
        <v>168</v>
      </c>
      <c r="D37" s="449"/>
      <c r="E37" s="450" t="s">
        <v>169</v>
      </c>
      <c r="F37" s="450" t="s">
        <v>170</v>
      </c>
      <c r="G37" s="450" t="s">
        <v>238</v>
      </c>
      <c r="H37" s="450" t="s">
        <v>171</v>
      </c>
      <c r="I37" s="450" t="s">
        <v>172</v>
      </c>
      <c r="J37" s="450" t="s">
        <v>239</v>
      </c>
      <c r="K37" s="450" t="s">
        <v>0</v>
      </c>
      <c r="L37" s="451" t="s">
        <v>16</v>
      </c>
    </row>
    <row r="38" spans="1:12" ht="16.5" thickBot="1" x14ac:dyDescent="0.3">
      <c r="A38" s="478" t="s">
        <v>290</v>
      </c>
      <c r="B38" s="479" t="str">
        <f>'Farm Machinery'!$B$5</f>
        <v>Sprayer, S.P,, 90` boom</v>
      </c>
      <c r="C38" s="480"/>
      <c r="D38" s="480"/>
      <c r="E38" s="67" t="s">
        <v>288</v>
      </c>
      <c r="F38" s="481">
        <f>'Farm Machinery Cost Calculation'!$Q$14*Management!$E$4</f>
        <v>0</v>
      </c>
      <c r="G38" s="481">
        <f>'Farm Machinery Cost Calculation'!$Q$19*Management!$E$4</f>
        <v>0</v>
      </c>
      <c r="H38" s="481">
        <f>'Farm Machinery Cost Calculation'!$Q$12*Management!$E$4</f>
        <v>0</v>
      </c>
      <c r="I38" s="481">
        <f>'Farm Machinery Cost Calculation'!$Q$10*Management!$E$4</f>
        <v>0</v>
      </c>
      <c r="J38" s="481">
        <f>'Farm Machinery Cost Calculation'!$Q$15*Management!$E$4</f>
        <v>0</v>
      </c>
      <c r="K38" s="481">
        <f>farm_labor_cost*F4</f>
        <v>0</v>
      </c>
      <c r="L38" s="482">
        <f>SUM(F38:K38)</f>
        <v>0</v>
      </c>
    </row>
    <row r="39" spans="1:12" ht="16.5" thickBot="1" x14ac:dyDescent="0.3">
      <c r="A39" s="478" t="s">
        <v>16</v>
      </c>
      <c r="B39" s="479"/>
      <c r="C39" s="483"/>
      <c r="D39" s="483"/>
      <c r="E39" s="67"/>
      <c r="F39" s="481"/>
      <c r="G39" s="481"/>
      <c r="H39" s="481"/>
      <c r="I39" s="481"/>
      <c r="J39" s="481"/>
      <c r="K39" s="481"/>
      <c r="L39" s="481"/>
    </row>
    <row r="42" spans="1:12" ht="16.5" thickBot="1" x14ac:dyDescent="0.3">
      <c r="A42" s="484" t="s">
        <v>312</v>
      </c>
      <c r="B42" s="129"/>
      <c r="C42" s="129"/>
      <c r="D42" s="129"/>
      <c r="E42" s="129"/>
      <c r="F42" s="129"/>
      <c r="G42" s="129"/>
      <c r="H42" s="129"/>
    </row>
    <row r="43" spans="1:12" ht="16.5" thickBot="1" x14ac:dyDescent="0.3">
      <c r="A43" s="485" t="s">
        <v>159</v>
      </c>
      <c r="B43" s="486" t="s">
        <v>207</v>
      </c>
      <c r="C43" s="487" t="s">
        <v>6</v>
      </c>
      <c r="D43" s="488" t="s">
        <v>160</v>
      </c>
      <c r="E43" s="486" t="s">
        <v>161</v>
      </c>
      <c r="F43" s="488" t="s">
        <v>3</v>
      </c>
      <c r="G43" s="488" t="s">
        <v>531</v>
      </c>
      <c r="H43" s="488" t="s">
        <v>532</v>
      </c>
    </row>
    <row r="44" spans="1:12" x14ac:dyDescent="0.25">
      <c r="A44" s="489" t="s">
        <v>162</v>
      </c>
      <c r="B44" s="490" t="s">
        <v>290</v>
      </c>
      <c r="C44" s="490" t="s">
        <v>297</v>
      </c>
      <c r="D44" s="491" t="s">
        <v>291</v>
      </c>
      <c r="E44" s="491">
        <v>0</v>
      </c>
      <c r="F44" s="491">
        <v>1</v>
      </c>
      <c r="G44" s="492">
        <v>4.88</v>
      </c>
      <c r="H44" s="492">
        <f>E44*F44*G44</f>
        <v>0</v>
      </c>
    </row>
    <row r="45" spans="1:12" ht="16.5" thickBot="1" x14ac:dyDescent="0.3">
      <c r="A45" s="65"/>
      <c r="B45" s="479"/>
      <c r="C45" s="479" t="s">
        <v>296</v>
      </c>
      <c r="D45" s="67" t="s">
        <v>292</v>
      </c>
      <c r="E45" s="67">
        <v>0</v>
      </c>
      <c r="F45" s="67">
        <v>2</v>
      </c>
      <c r="G45" s="481">
        <v>3.76</v>
      </c>
      <c r="H45" s="481">
        <f>E45*F45*G45</f>
        <v>0</v>
      </c>
    </row>
    <row r="46" spans="1:12" ht="16.5" thickBot="1" x14ac:dyDescent="0.3">
      <c r="A46" s="493" t="s">
        <v>16</v>
      </c>
      <c r="B46" s="464"/>
      <c r="C46" s="464"/>
      <c r="D46" s="466"/>
      <c r="E46" s="466"/>
      <c r="F46" s="466"/>
      <c r="G46" s="467"/>
      <c r="H46" s="468">
        <f>SUM(H44:H45)</f>
        <v>0</v>
      </c>
    </row>
    <row r="47" spans="1:12" x14ac:dyDescent="0.25">
      <c r="A47" s="2" t="s">
        <v>298</v>
      </c>
    </row>
    <row r="50" spans="1:8" ht="15.75" customHeight="1" x14ac:dyDescent="0.25">
      <c r="A50" s="736" t="s">
        <v>315</v>
      </c>
      <c r="B50" s="736"/>
      <c r="C50" s="736"/>
      <c r="D50" s="736"/>
      <c r="E50" s="736"/>
      <c r="F50" s="736"/>
      <c r="G50" s="736"/>
      <c r="H50" s="736"/>
    </row>
    <row r="51" spans="1:8" x14ac:dyDescent="0.25">
      <c r="A51" s="736"/>
      <c r="B51" s="736"/>
      <c r="C51" s="736"/>
      <c r="D51" s="736"/>
      <c r="E51" s="736"/>
      <c r="F51" s="736"/>
      <c r="G51" s="736"/>
      <c r="H51" s="736"/>
    </row>
    <row r="52" spans="1:8" x14ac:dyDescent="0.25">
      <c r="A52" s="736"/>
      <c r="B52" s="736"/>
      <c r="C52" s="736"/>
      <c r="D52" s="736"/>
      <c r="E52" s="736"/>
      <c r="F52" s="736"/>
      <c r="G52" s="736"/>
      <c r="H52" s="736"/>
    </row>
    <row r="53" spans="1:8" x14ac:dyDescent="0.25">
      <c r="A53" s="736"/>
      <c r="B53" s="736"/>
      <c r="C53" s="736"/>
      <c r="D53" s="736"/>
      <c r="E53" s="736"/>
      <c r="F53" s="736"/>
      <c r="G53" s="736"/>
      <c r="H53" s="736"/>
    </row>
    <row r="54" spans="1:8" x14ac:dyDescent="0.25">
      <c r="A54" s="736"/>
      <c r="B54" s="736"/>
      <c r="C54" s="736"/>
      <c r="D54" s="736"/>
      <c r="E54" s="736"/>
      <c r="F54" s="736"/>
      <c r="G54" s="736"/>
      <c r="H54" s="736"/>
    </row>
    <row r="55" spans="1:8" x14ac:dyDescent="0.25">
      <c r="A55" s="736"/>
      <c r="B55" s="736"/>
      <c r="C55" s="736"/>
      <c r="D55" s="736"/>
      <c r="E55" s="736"/>
      <c r="F55" s="736"/>
      <c r="G55" s="736"/>
      <c r="H55" s="736"/>
    </row>
    <row r="56" spans="1:8" x14ac:dyDescent="0.25">
      <c r="A56" s="736"/>
      <c r="B56" s="736"/>
      <c r="C56" s="736"/>
      <c r="D56" s="736"/>
      <c r="E56" s="736"/>
      <c r="F56" s="736"/>
      <c r="G56" s="736"/>
      <c r="H56" s="736"/>
    </row>
    <row r="57" spans="1:8" x14ac:dyDescent="0.25">
      <c r="A57" s="153"/>
      <c r="B57" s="153"/>
      <c r="C57" s="153"/>
      <c r="D57" s="153"/>
      <c r="E57" s="153"/>
      <c r="F57" s="153"/>
      <c r="G57" s="153"/>
      <c r="H57" s="153"/>
    </row>
  </sheetData>
  <mergeCells count="1">
    <mergeCell ref="A50:H5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05"/>
  <sheetViews>
    <sheetView zoomScale="120" zoomScaleNormal="120" workbookViewId="0">
      <selection sqref="A1:H1"/>
    </sheetView>
  </sheetViews>
  <sheetFormatPr defaultColWidth="9.140625" defaultRowHeight="12.75" x14ac:dyDescent="0.2"/>
  <cols>
    <col min="1" max="1" width="5.28515625" style="375" customWidth="1"/>
    <col min="2" max="2" width="36.7109375" style="375" customWidth="1"/>
    <col min="3" max="3" width="17" style="375" bestFit="1" customWidth="1"/>
    <col min="4" max="4" width="64" style="375" bestFit="1" customWidth="1"/>
    <col min="5" max="9" width="9.140625" style="375"/>
    <col min="10" max="10" width="17.140625" style="375" customWidth="1"/>
    <col min="11" max="12" width="9.140625" style="375"/>
    <col min="13" max="13" width="12.42578125" style="375" bestFit="1" customWidth="1"/>
    <col min="14" max="14" width="9.140625" style="375"/>
    <col min="15" max="15" width="14.85546875" style="375" customWidth="1"/>
    <col min="16" max="16" width="21.7109375" style="375" bestFit="1" customWidth="1"/>
    <col min="17" max="17" width="11.42578125" style="375" bestFit="1" customWidth="1"/>
    <col min="18" max="18" width="9.140625" style="375"/>
    <col min="19" max="19" width="17" style="375" bestFit="1" customWidth="1"/>
    <col min="20" max="20" width="13.7109375" style="375" bestFit="1" customWidth="1"/>
    <col min="21" max="16384" width="9.140625" style="375"/>
  </cols>
  <sheetData>
    <row r="1" spans="1:16" ht="18" x14ac:dyDescent="0.2">
      <c r="A1" s="765" t="s">
        <v>452</v>
      </c>
      <c r="B1" s="765"/>
      <c r="C1" s="765"/>
      <c r="D1" s="765"/>
      <c r="E1" s="765"/>
      <c r="F1" s="765"/>
      <c r="G1" s="765"/>
      <c r="H1" s="765"/>
    </row>
    <row r="2" spans="1:16" x14ac:dyDescent="0.2">
      <c r="A2" s="376" t="s">
        <v>78</v>
      </c>
      <c r="B2" s="377" t="s">
        <v>79</v>
      </c>
      <c r="C2" s="377" t="s">
        <v>9</v>
      </c>
      <c r="D2" s="377" t="s">
        <v>6</v>
      </c>
      <c r="E2" s="378" t="s">
        <v>10</v>
      </c>
      <c r="F2" s="377"/>
      <c r="G2" s="378"/>
      <c r="H2" s="379" t="s">
        <v>273</v>
      </c>
      <c r="O2" s="375" t="s">
        <v>241</v>
      </c>
      <c r="P2" s="375">
        <f>'Budget Summary'!G5-'Budget Summary'!G16-'Budget Summary'!G24</f>
        <v>44.009144753929533</v>
      </c>
    </row>
    <row r="3" spans="1:16" ht="15" x14ac:dyDescent="0.25">
      <c r="A3" s="380">
        <v>1</v>
      </c>
      <c r="B3" s="381" t="s">
        <v>100</v>
      </c>
      <c r="C3" s="382">
        <f>'National Analysis'!F8</f>
        <v>12.4</v>
      </c>
      <c r="D3" s="375" t="s">
        <v>101</v>
      </c>
      <c r="E3" s="383" t="s">
        <v>451</v>
      </c>
      <c r="G3" s="384"/>
      <c r="H3" s="385"/>
    </row>
    <row r="4" spans="1:16" ht="15" x14ac:dyDescent="0.25">
      <c r="A4" s="380">
        <v>2</v>
      </c>
      <c r="B4" s="381" t="s">
        <v>102</v>
      </c>
      <c r="C4" s="382">
        <f>'National Analysis'!G8</f>
        <v>23.66</v>
      </c>
      <c r="D4" s="375" t="s">
        <v>103</v>
      </c>
      <c r="E4" s="383" t="s">
        <v>451</v>
      </c>
      <c r="G4" s="384"/>
      <c r="H4" s="385"/>
    </row>
    <row r="5" spans="1:16" x14ac:dyDescent="0.2">
      <c r="A5" s="380">
        <v>3</v>
      </c>
      <c r="B5" s="375" t="s">
        <v>194</v>
      </c>
      <c r="C5" s="386">
        <v>10</v>
      </c>
      <c r="D5" s="387" t="s">
        <v>190</v>
      </c>
      <c r="E5" s="388" t="s">
        <v>314</v>
      </c>
    </row>
    <row r="6" spans="1:16" x14ac:dyDescent="0.2">
      <c r="A6" s="380">
        <v>4</v>
      </c>
      <c r="B6" s="389" t="s">
        <v>195</v>
      </c>
      <c r="C6" s="390">
        <v>0.108</v>
      </c>
      <c r="D6" s="387" t="s">
        <v>196</v>
      </c>
      <c r="E6" s="388" t="s">
        <v>450</v>
      </c>
    </row>
    <row r="7" spans="1:16" x14ac:dyDescent="0.2">
      <c r="A7" s="380"/>
      <c r="B7" s="389" t="s">
        <v>313</v>
      </c>
      <c r="C7" s="390">
        <v>0.108</v>
      </c>
      <c r="D7" s="387" t="s">
        <v>196</v>
      </c>
      <c r="E7" s="388" t="s">
        <v>450</v>
      </c>
    </row>
    <row r="8" spans="1:16" x14ac:dyDescent="0.2">
      <c r="A8" s="380">
        <v>5</v>
      </c>
      <c r="B8" s="389" t="s">
        <v>197</v>
      </c>
      <c r="C8" s="391">
        <v>1600</v>
      </c>
      <c r="D8" s="387" t="s">
        <v>320</v>
      </c>
      <c r="E8" s="388" t="s">
        <v>314</v>
      </c>
    </row>
    <row r="9" spans="1:16" x14ac:dyDescent="0.2">
      <c r="A9" s="380"/>
      <c r="B9" s="389" t="s">
        <v>266</v>
      </c>
      <c r="C9" s="391">
        <v>5</v>
      </c>
      <c r="D9" s="387"/>
      <c r="E9" s="388"/>
    </row>
    <row r="10" spans="1:16" x14ac:dyDescent="0.2">
      <c r="A10" s="380">
        <v>6</v>
      </c>
      <c r="B10" s="387" t="s">
        <v>80</v>
      </c>
      <c r="C10" s="392">
        <v>0.15</v>
      </c>
      <c r="D10" s="387" t="s">
        <v>77</v>
      </c>
      <c r="E10" s="393" t="s">
        <v>264</v>
      </c>
      <c r="F10" s="394"/>
      <c r="G10" s="384"/>
      <c r="H10" s="394"/>
    </row>
    <row r="11" spans="1:16" x14ac:dyDescent="0.2">
      <c r="A11" s="380">
        <v>7</v>
      </c>
      <c r="B11" s="387" t="s">
        <v>105</v>
      </c>
      <c r="C11" s="395">
        <v>0.85</v>
      </c>
      <c r="D11" s="375" t="s">
        <v>83</v>
      </c>
      <c r="E11" s="393" t="s">
        <v>264</v>
      </c>
    </row>
    <row r="12" spans="1:16" x14ac:dyDescent="0.2">
      <c r="A12" s="380">
        <v>8</v>
      </c>
      <c r="B12" s="396" t="s">
        <v>106</v>
      </c>
      <c r="C12" s="395">
        <v>0.1</v>
      </c>
      <c r="D12" s="387" t="s">
        <v>95</v>
      </c>
    </row>
    <row r="13" spans="1:16" x14ac:dyDescent="0.2">
      <c r="A13" s="380">
        <v>9</v>
      </c>
      <c r="B13" s="375" t="s">
        <v>104</v>
      </c>
      <c r="C13" s="397">
        <v>1.25</v>
      </c>
      <c r="D13" s="375" t="s">
        <v>76</v>
      </c>
      <c r="E13" s="383" t="s">
        <v>67</v>
      </c>
      <c r="G13" s="384"/>
      <c r="H13" s="394"/>
    </row>
    <row r="14" spans="1:16" x14ac:dyDescent="0.2">
      <c r="A14" s="380">
        <v>22</v>
      </c>
      <c r="B14" s="398" t="s">
        <v>108</v>
      </c>
      <c r="C14" s="399"/>
      <c r="D14" s="387"/>
      <c r="E14" s="388"/>
    </row>
    <row r="15" spans="1:16" x14ac:dyDescent="0.2">
      <c r="A15" s="380"/>
      <c r="B15" s="400" t="s">
        <v>379</v>
      </c>
      <c r="C15" s="401">
        <f>1/'Farm Machinery'!L6</f>
        <v>9.8214285714285712E-2</v>
      </c>
      <c r="D15" s="387" t="s">
        <v>380</v>
      </c>
      <c r="E15" s="388" t="s">
        <v>269</v>
      </c>
    </row>
    <row r="16" spans="1:16" x14ac:dyDescent="0.2">
      <c r="A16" s="380"/>
      <c r="B16" s="402" t="s">
        <v>371</v>
      </c>
      <c r="C16" s="401">
        <f>1/'Farm Machinery'!L5</f>
        <v>1.2731481481481481E-2</v>
      </c>
      <c r="D16" s="387" t="str">
        <f>'Farm Machinery'!B5</f>
        <v>Sprayer, S.P,, 90` boom</v>
      </c>
      <c r="E16" s="388" t="s">
        <v>269</v>
      </c>
    </row>
    <row r="17" spans="1:5" x14ac:dyDescent="0.2">
      <c r="A17" s="380"/>
      <c r="B17" s="402" t="s">
        <v>110</v>
      </c>
      <c r="C17" s="401">
        <f>1/'Farm Machinery'!L4</f>
        <v>0.11785714285714287</v>
      </c>
      <c r="D17" s="387" t="str">
        <f>'Farm Machinery'!B4</f>
        <v xml:space="preserve">NT Grain Drill (20 ft)  </v>
      </c>
      <c r="E17" s="388" t="s">
        <v>269</v>
      </c>
    </row>
    <row r="18" spans="1:5" x14ac:dyDescent="0.2">
      <c r="A18" s="380"/>
      <c r="B18" s="402" t="s">
        <v>109</v>
      </c>
      <c r="C18" s="401">
        <f>1/'Farm Machinery'!L17</f>
        <v>6.7346938775510221E-2</v>
      </c>
      <c r="D18" s="387" t="str">
        <f>'Farm Machinery'!B3</f>
        <v xml:space="preserve">Tractor, 150 H.P.,W/Cab, Air       </v>
      </c>
      <c r="E18" s="388" t="s">
        <v>269</v>
      </c>
    </row>
    <row r="19" spans="1:5" x14ac:dyDescent="0.2">
      <c r="A19" s="380"/>
      <c r="B19" s="402" t="s">
        <v>141</v>
      </c>
      <c r="C19" s="401">
        <f>spring_spray60</f>
        <v>1.2731481481481481E-2</v>
      </c>
      <c r="D19" s="387" t="str">
        <f>'Farm Machinery'!B5</f>
        <v>Sprayer, S.P,, 90` boom</v>
      </c>
      <c r="E19" s="388" t="s">
        <v>269</v>
      </c>
    </row>
    <row r="20" spans="1:5" x14ac:dyDescent="0.2">
      <c r="A20" s="380"/>
      <c r="B20" s="402" t="s">
        <v>111</v>
      </c>
      <c r="C20" s="401">
        <v>1.2999999999999999E-2</v>
      </c>
      <c r="D20" s="387" t="str">
        <f>'Farm Machinery'!B5</f>
        <v>Sprayer, S.P,, 90` boom</v>
      </c>
      <c r="E20" s="388" t="s">
        <v>382</v>
      </c>
    </row>
    <row r="21" spans="1:5" x14ac:dyDescent="0.2">
      <c r="A21" s="380"/>
      <c r="B21" s="402" t="s">
        <v>199</v>
      </c>
      <c r="C21" s="401">
        <v>0</v>
      </c>
      <c r="D21" s="387" t="s">
        <v>51</v>
      </c>
      <c r="E21" s="388" t="s">
        <v>382</v>
      </c>
    </row>
    <row r="22" spans="1:5" x14ac:dyDescent="0.2">
      <c r="A22" s="380"/>
      <c r="B22" s="402" t="s">
        <v>200</v>
      </c>
      <c r="C22" s="401">
        <v>0</v>
      </c>
      <c r="D22" s="387" t="s">
        <v>51</v>
      </c>
      <c r="E22" s="388" t="s">
        <v>382</v>
      </c>
    </row>
    <row r="23" spans="1:5" x14ac:dyDescent="0.2">
      <c r="A23" s="380"/>
      <c r="B23" s="402" t="s">
        <v>214</v>
      </c>
      <c r="C23" s="401">
        <f>1/Machine14_Acre_Hour</f>
        <v>9.8214285714285712E-2</v>
      </c>
      <c r="D23" s="387" t="s">
        <v>215</v>
      </c>
      <c r="E23" s="388" t="s">
        <v>269</v>
      </c>
    </row>
    <row r="24" spans="1:5" x14ac:dyDescent="0.2">
      <c r="A24" s="380"/>
      <c r="B24" s="402" t="s">
        <v>216</v>
      </c>
      <c r="C24" s="401">
        <f>1/((4*30*0.7)/8.25)</f>
        <v>9.8214285714285712E-2</v>
      </c>
      <c r="D24" s="387" t="s">
        <v>217</v>
      </c>
      <c r="E24" s="388" t="s">
        <v>270</v>
      </c>
    </row>
    <row r="25" spans="1:5" x14ac:dyDescent="0.2">
      <c r="A25" s="380"/>
      <c r="B25" s="402" t="s">
        <v>140</v>
      </c>
      <c r="C25" s="401">
        <f>100/35</f>
        <v>2.8571428571428572</v>
      </c>
      <c r="D25" s="387" t="s">
        <v>70</v>
      </c>
      <c r="E25" s="388" t="s">
        <v>446</v>
      </c>
    </row>
    <row r="26" spans="1:5" x14ac:dyDescent="0.2">
      <c r="A26" s="380"/>
      <c r="B26" s="402" t="s">
        <v>220</v>
      </c>
      <c r="C26" s="401">
        <v>800</v>
      </c>
      <c r="D26" s="387" t="s">
        <v>221</v>
      </c>
      <c r="E26" s="388" t="s">
        <v>444</v>
      </c>
    </row>
    <row r="27" spans="1:5" x14ac:dyDescent="0.2">
      <c r="A27" s="380"/>
      <c r="B27" s="402" t="s">
        <v>222</v>
      </c>
      <c r="C27" s="401">
        <v>50</v>
      </c>
      <c r="D27" s="387" t="s">
        <v>535</v>
      </c>
      <c r="E27" s="388" t="s">
        <v>444</v>
      </c>
    </row>
    <row r="28" spans="1:5" x14ac:dyDescent="0.2">
      <c r="A28" s="380"/>
      <c r="B28" s="402" t="s">
        <v>223</v>
      </c>
      <c r="C28" s="401">
        <f>semi_tractor_capacity*pennycress_pounds_bushel/pennycress_yield</f>
        <v>25</v>
      </c>
      <c r="D28" s="387" t="s">
        <v>224</v>
      </c>
      <c r="E28" s="388"/>
    </row>
    <row r="29" spans="1:5" x14ac:dyDescent="0.2">
      <c r="A29" s="380">
        <v>25</v>
      </c>
      <c r="B29" s="398" t="s">
        <v>537</v>
      </c>
      <c r="C29" s="399"/>
      <c r="D29" s="387"/>
      <c r="E29" s="388"/>
    </row>
    <row r="30" spans="1:5" x14ac:dyDescent="0.2">
      <c r="A30" s="380"/>
      <c r="B30" s="402" t="s">
        <v>112</v>
      </c>
      <c r="C30" s="403">
        <v>5</v>
      </c>
      <c r="D30" s="387" t="s">
        <v>320</v>
      </c>
      <c r="E30" s="388" t="s">
        <v>444</v>
      </c>
    </row>
    <row r="31" spans="1:5" x14ac:dyDescent="0.2">
      <c r="A31" s="380"/>
      <c r="B31" s="402" t="s">
        <v>113</v>
      </c>
      <c r="C31" s="403">
        <v>0</v>
      </c>
      <c r="D31" s="387" t="s">
        <v>320</v>
      </c>
      <c r="E31" s="388" t="s">
        <v>8</v>
      </c>
    </row>
    <row r="32" spans="1:5" x14ac:dyDescent="0.2">
      <c r="A32" s="380"/>
      <c r="B32" s="402" t="s">
        <v>114</v>
      </c>
      <c r="C32" s="403">
        <v>0</v>
      </c>
      <c r="D32" s="387" t="s">
        <v>320</v>
      </c>
      <c r="E32" s="388" t="s">
        <v>8</v>
      </c>
    </row>
    <row r="33" spans="1:5" x14ac:dyDescent="0.2">
      <c r="A33" s="380"/>
      <c r="B33" s="402" t="s">
        <v>117</v>
      </c>
      <c r="C33" s="403">
        <v>50</v>
      </c>
      <c r="D33" s="387" t="s">
        <v>320</v>
      </c>
      <c r="E33" s="388" t="s">
        <v>444</v>
      </c>
    </row>
    <row r="34" spans="1:5" x14ac:dyDescent="0.2">
      <c r="A34" s="380"/>
      <c r="B34" s="402" t="s">
        <v>184</v>
      </c>
      <c r="C34" s="403">
        <v>0</v>
      </c>
      <c r="D34" s="387" t="s">
        <v>320</v>
      </c>
      <c r="E34" s="388" t="s">
        <v>8</v>
      </c>
    </row>
    <row r="35" spans="1:5" x14ac:dyDescent="0.2">
      <c r="A35" s="380"/>
      <c r="B35" s="402" t="s">
        <v>185</v>
      </c>
      <c r="C35" s="403">
        <v>0</v>
      </c>
      <c r="D35" s="387" t="s">
        <v>320</v>
      </c>
      <c r="E35" s="388" t="s">
        <v>8</v>
      </c>
    </row>
    <row r="36" spans="1:5" x14ac:dyDescent="0.2">
      <c r="A36" s="380"/>
      <c r="B36" s="402" t="s">
        <v>186</v>
      </c>
      <c r="C36" s="403">
        <v>0</v>
      </c>
      <c r="D36" s="387" t="s">
        <v>320</v>
      </c>
      <c r="E36" s="388" t="s">
        <v>8</v>
      </c>
    </row>
    <row r="37" spans="1:5" x14ac:dyDescent="0.2">
      <c r="A37" s="380"/>
      <c r="B37" s="402" t="s">
        <v>201</v>
      </c>
      <c r="C37" s="403">
        <v>0</v>
      </c>
      <c r="D37" s="387" t="s">
        <v>123</v>
      </c>
      <c r="E37" s="388" t="s">
        <v>8</v>
      </c>
    </row>
    <row r="38" spans="1:5" x14ac:dyDescent="0.2">
      <c r="A38" s="380"/>
      <c r="B38" s="402" t="s">
        <v>203</v>
      </c>
      <c r="C38" s="403">
        <v>0</v>
      </c>
      <c r="D38" s="387" t="s">
        <v>123</v>
      </c>
      <c r="E38" s="388" t="s">
        <v>8</v>
      </c>
    </row>
    <row r="39" spans="1:5" x14ac:dyDescent="0.2">
      <c r="A39" s="380"/>
      <c r="B39" s="402" t="s">
        <v>115</v>
      </c>
      <c r="C39" s="403">
        <v>0</v>
      </c>
      <c r="D39" s="387" t="s">
        <v>122</v>
      </c>
      <c r="E39" s="388" t="s">
        <v>8</v>
      </c>
    </row>
    <row r="40" spans="1:5" x14ac:dyDescent="0.2">
      <c r="A40" s="380"/>
      <c r="B40" s="402" t="s">
        <v>212</v>
      </c>
      <c r="C40" s="403">
        <v>0</v>
      </c>
      <c r="D40" s="387" t="s">
        <v>123</v>
      </c>
      <c r="E40" s="388" t="s">
        <v>8</v>
      </c>
    </row>
    <row r="41" spans="1:5" x14ac:dyDescent="0.2">
      <c r="A41" s="380"/>
      <c r="B41" s="402" t="s">
        <v>116</v>
      </c>
      <c r="C41" s="404">
        <v>2.5</v>
      </c>
      <c r="D41" s="387" t="s">
        <v>124</v>
      </c>
      <c r="E41" s="388" t="s">
        <v>445</v>
      </c>
    </row>
    <row r="42" spans="1:5" ht="15" x14ac:dyDescent="0.25">
      <c r="A42" s="380"/>
      <c r="B42" s="405" t="s">
        <v>118</v>
      </c>
      <c r="C42" s="404">
        <f>'National Analysis'!I8</f>
        <v>0.33</v>
      </c>
      <c r="D42" s="387" t="s">
        <v>124</v>
      </c>
      <c r="E42" s="383" t="s">
        <v>451</v>
      </c>
    </row>
    <row r="43" spans="1:5" x14ac:dyDescent="0.2">
      <c r="A43" s="380"/>
      <c r="B43" s="402" t="s">
        <v>119</v>
      </c>
      <c r="C43" s="404">
        <f>'National Analysis'!J8</f>
        <v>0.32</v>
      </c>
      <c r="D43" s="387" t="s">
        <v>124</v>
      </c>
      <c r="E43" s="383" t="s">
        <v>451</v>
      </c>
    </row>
    <row r="44" spans="1:5" x14ac:dyDescent="0.2">
      <c r="A44" s="380"/>
      <c r="B44" s="402" t="s">
        <v>287</v>
      </c>
      <c r="C44" s="404">
        <v>0</v>
      </c>
      <c r="D44" s="387" t="s">
        <v>124</v>
      </c>
      <c r="E44" s="388" t="s">
        <v>8</v>
      </c>
    </row>
    <row r="45" spans="1:5" ht="15" x14ac:dyDescent="0.25">
      <c r="A45" s="380"/>
      <c r="B45" s="405" t="s">
        <v>120</v>
      </c>
      <c r="C45" s="404">
        <f>'National Analysis'!H8</f>
        <v>0.44</v>
      </c>
      <c r="D45" s="387" t="s">
        <v>124</v>
      </c>
      <c r="E45" s="383" t="s">
        <v>451</v>
      </c>
    </row>
    <row r="46" spans="1:5" x14ac:dyDescent="0.2">
      <c r="A46" s="380"/>
      <c r="B46" s="402" t="s">
        <v>187</v>
      </c>
      <c r="C46" s="404">
        <f>36.5/2000</f>
        <v>1.8249999999999999E-2</v>
      </c>
      <c r="D46" s="387" t="s">
        <v>124</v>
      </c>
      <c r="E46" s="388" t="s">
        <v>8</v>
      </c>
    </row>
    <row r="47" spans="1:5" x14ac:dyDescent="0.2">
      <c r="A47" s="380"/>
      <c r="B47" s="402" t="s">
        <v>188</v>
      </c>
      <c r="C47" s="404">
        <v>5.33</v>
      </c>
      <c r="D47" s="387" t="s">
        <v>124</v>
      </c>
      <c r="E47" s="388" t="s">
        <v>253</v>
      </c>
    </row>
    <row r="48" spans="1:5" x14ac:dyDescent="0.2">
      <c r="A48" s="380"/>
      <c r="B48" s="402" t="s">
        <v>189</v>
      </c>
      <c r="C48" s="404">
        <v>0.35</v>
      </c>
      <c r="D48" s="387" t="s">
        <v>124</v>
      </c>
      <c r="E48" s="388" t="s">
        <v>202</v>
      </c>
    </row>
    <row r="49" spans="1:14" x14ac:dyDescent="0.2">
      <c r="A49" s="380"/>
      <c r="B49" s="402" t="s">
        <v>204</v>
      </c>
      <c r="C49" s="404">
        <v>5</v>
      </c>
      <c r="D49" s="387" t="s">
        <v>126</v>
      </c>
      <c r="E49" s="388" t="s">
        <v>202</v>
      </c>
      <c r="N49" s="375" t="s">
        <v>309</v>
      </c>
    </row>
    <row r="50" spans="1:14" x14ac:dyDescent="0.2">
      <c r="A50" s="380"/>
      <c r="B50" s="402" t="s">
        <v>205</v>
      </c>
      <c r="C50" s="404">
        <v>9</v>
      </c>
      <c r="D50" s="387" t="s">
        <v>126</v>
      </c>
      <c r="E50" s="388" t="s">
        <v>202</v>
      </c>
    </row>
    <row r="51" spans="1:14" x14ac:dyDescent="0.2">
      <c r="A51" s="380"/>
      <c r="B51" s="402" t="s">
        <v>121</v>
      </c>
      <c r="C51" s="404">
        <v>27.5</v>
      </c>
      <c r="D51" s="387" t="s">
        <v>125</v>
      </c>
      <c r="E51" s="388" t="s">
        <v>202</v>
      </c>
    </row>
    <row r="52" spans="1:14" x14ac:dyDescent="0.2">
      <c r="A52" s="380"/>
      <c r="B52" s="402" t="s">
        <v>213</v>
      </c>
      <c r="C52" s="404">
        <v>17.5</v>
      </c>
      <c r="D52" s="387" t="s">
        <v>126</v>
      </c>
      <c r="E52" s="388" t="s">
        <v>202</v>
      </c>
    </row>
    <row r="53" spans="1:14" ht="15" x14ac:dyDescent="0.25">
      <c r="B53" s="406" t="s">
        <v>127</v>
      </c>
      <c r="C53" s="407">
        <f>'National Analysis'!E8</f>
        <v>2.4590000000000001</v>
      </c>
      <c r="D53" s="375" t="s">
        <v>536</v>
      </c>
      <c r="E53" s="383" t="s">
        <v>451</v>
      </c>
      <c r="G53" s="384"/>
      <c r="H53" s="394"/>
    </row>
    <row r="54" spans="1:14" ht="15.75" x14ac:dyDescent="0.25">
      <c r="B54" s="375" t="s">
        <v>129</v>
      </c>
      <c r="C54" s="408">
        <v>0.06</v>
      </c>
      <c r="D54" s="375" t="s">
        <v>18</v>
      </c>
      <c r="E54" s="409" t="s">
        <v>289</v>
      </c>
      <c r="G54" s="384"/>
      <c r="H54" s="394"/>
    </row>
    <row r="55" spans="1:14" ht="15.75" x14ac:dyDescent="0.25">
      <c r="B55" s="375" t="s">
        <v>135</v>
      </c>
      <c r="C55" s="408">
        <v>7.2727968306475002E-3</v>
      </c>
      <c r="D55" s="375" t="s">
        <v>136</v>
      </c>
      <c r="E55" s="409" t="s">
        <v>289</v>
      </c>
      <c r="G55" s="384"/>
      <c r="H55" s="394"/>
    </row>
    <row r="56" spans="1:14" ht="15.75" x14ac:dyDescent="0.25">
      <c r="B56" s="375" t="s">
        <v>128</v>
      </c>
      <c r="C56" s="408">
        <f>nom_interest-C55</f>
        <v>5.2727203169352498E-2</v>
      </c>
      <c r="D56" s="375" t="s">
        <v>72</v>
      </c>
      <c r="E56" s="409" t="s">
        <v>289</v>
      </c>
      <c r="G56" s="384"/>
      <c r="H56" s="394"/>
    </row>
    <row r="57" spans="1:14" x14ac:dyDescent="0.2">
      <c r="B57" s="375" t="s">
        <v>130</v>
      </c>
      <c r="C57" s="410">
        <v>0.1</v>
      </c>
      <c r="D57" s="375" t="s">
        <v>69</v>
      </c>
      <c r="E57" s="383" t="s">
        <v>73</v>
      </c>
      <c r="G57" s="384"/>
      <c r="H57" s="394"/>
    </row>
    <row r="58" spans="1:14" x14ac:dyDescent="0.2">
      <c r="B58" s="411" t="s">
        <v>131</v>
      </c>
      <c r="C58" s="408">
        <v>7.4999999999999997E-3</v>
      </c>
      <c r="D58" s="411" t="s">
        <v>20</v>
      </c>
      <c r="E58" s="383" t="s">
        <v>17</v>
      </c>
      <c r="G58" s="384"/>
      <c r="H58" s="394"/>
    </row>
    <row r="59" spans="1:14" x14ac:dyDescent="0.2">
      <c r="B59" s="411" t="s">
        <v>132</v>
      </c>
      <c r="C59" s="408">
        <v>0.01</v>
      </c>
      <c r="D59" s="411" t="s">
        <v>74</v>
      </c>
      <c r="E59" s="383" t="s">
        <v>17</v>
      </c>
      <c r="G59" s="384"/>
      <c r="H59" s="394"/>
    </row>
    <row r="60" spans="1:14" x14ac:dyDescent="0.2">
      <c r="B60" s="387" t="s">
        <v>133</v>
      </c>
      <c r="C60" s="412">
        <v>2.5000000000000001E-3</v>
      </c>
      <c r="D60" s="387" t="s">
        <v>19</v>
      </c>
      <c r="E60" s="384" t="s">
        <v>17</v>
      </c>
      <c r="F60" s="394"/>
      <c r="G60" s="384"/>
      <c r="H60" s="394"/>
    </row>
    <row r="61" spans="1:14" x14ac:dyDescent="0.2">
      <c r="A61" s="380"/>
      <c r="B61" s="375" t="s">
        <v>96</v>
      </c>
      <c r="C61" s="413">
        <v>2000</v>
      </c>
      <c r="D61" s="387" t="s">
        <v>107</v>
      </c>
    </row>
    <row r="62" spans="1:14" x14ac:dyDescent="0.2">
      <c r="B62" s="375" t="s">
        <v>242</v>
      </c>
      <c r="C62" s="375">
        <v>32.9</v>
      </c>
      <c r="D62" s="375" t="s">
        <v>243</v>
      </c>
      <c r="E62" s="375" t="s">
        <v>456</v>
      </c>
    </row>
    <row r="63" spans="1:14" x14ac:dyDescent="0.2">
      <c r="B63" s="375" t="s">
        <v>355</v>
      </c>
      <c r="C63" s="375">
        <v>9.89</v>
      </c>
      <c r="D63" s="375" t="s">
        <v>357</v>
      </c>
    </row>
    <row r="64" spans="1:14" x14ac:dyDescent="0.2">
      <c r="B64" s="375" t="s">
        <v>356</v>
      </c>
      <c r="C64" s="414">
        <v>4</v>
      </c>
      <c r="D64" s="375" t="s">
        <v>358</v>
      </c>
      <c r="E64" s="375" t="s">
        <v>359</v>
      </c>
      <c r="K64" s="415"/>
      <c r="L64" s="415"/>
    </row>
    <row r="65" spans="2:12" ht="15" x14ac:dyDescent="0.25">
      <c r="B65" s="375" t="s">
        <v>362</v>
      </c>
      <c r="C65" s="375">
        <v>0.27</v>
      </c>
      <c r="D65" s="375" t="s">
        <v>274</v>
      </c>
      <c r="E65" s="365" t="s">
        <v>258</v>
      </c>
    </row>
    <row r="68" spans="2:12" x14ac:dyDescent="0.2">
      <c r="K68" s="415"/>
      <c r="L68" s="415"/>
    </row>
    <row r="71" spans="2:12" x14ac:dyDescent="0.2">
      <c r="K71" s="415"/>
      <c r="L71" s="415"/>
    </row>
    <row r="75" spans="2:12" x14ac:dyDescent="0.2">
      <c r="K75" s="415"/>
      <c r="L75" s="415"/>
    </row>
    <row r="82" spans="11:12" x14ac:dyDescent="0.2">
      <c r="K82" s="415"/>
      <c r="L82" s="415"/>
    </row>
    <row r="91" spans="11:12" x14ac:dyDescent="0.2">
      <c r="K91" s="415"/>
      <c r="L91" s="415"/>
    </row>
    <row r="96" spans="11:12" x14ac:dyDescent="0.2">
      <c r="K96" s="415"/>
      <c r="L96" s="415"/>
    </row>
    <row r="98" spans="11:13" x14ac:dyDescent="0.2">
      <c r="K98" s="416"/>
      <c r="L98" s="416"/>
      <c r="M98" s="417"/>
    </row>
    <row r="99" spans="11:13" x14ac:dyDescent="0.2">
      <c r="K99" s="418"/>
      <c r="L99" s="418"/>
      <c r="M99" s="417"/>
    </row>
    <row r="103" spans="11:13" x14ac:dyDescent="0.2">
      <c r="K103" s="415"/>
      <c r="L103" s="415"/>
    </row>
    <row r="105" spans="11:13" x14ac:dyDescent="0.2">
      <c r="K105" s="419"/>
      <c r="L105" s="419"/>
    </row>
  </sheetData>
  <scenarios current="15" show="11" sqref="O3">
    <scenario name="lower_fuel_gal" locked="1" count="1" user="Markel, Evan Lawrence" comment="Created by Markel, Evan Lawrence on 5/22/2017_x000a_Modified by Markel, Evan Lawrence on 5/22/2017">
      <inputCells r="C53" val="2.76" numFmtId="164"/>
    </scenario>
    <scenario name="upper_fuel_gal" locked="1" count="1" user="Markel, Evan Lawrence" comment="Created by Markel, Evan Lawrence on 5/22/2017_x000a_Modified by Markel, Evan Lawrence on 5/22/2017">
      <inputCells r="C53" val="4.14" numFmtId="164"/>
    </scenario>
    <scenario name="lower_penny_price" locked="1" count="1" user="Markel, Evan Lawrence" comment="Created by Markel, Evan Lawrence on 5/22/2017_x000a_Modified by Markel, Evan Lawrence on 5/22/2017">
      <inputCells r="C6" val="0.12" numFmtId="164"/>
    </scenario>
    <scenario name="upper_penny_price" locked="1" count="1" user="Markel, Evan Lawrence" comment="Created by Markel, Evan Lawrence on 5/22/2017_x000a_Modified by Markel, Evan Lawrence on 5/22/2017">
      <inputCells r="C6" val="0.18" numFmtId="164"/>
    </scenario>
    <scenario name="lower_aerial_seed" locked="1" count="1" user="Markel, Evan Lawrence" comment="Created by Markel, Evan Lawrence on 5/22/2017_x000a_Modified by Markel, Evan Lawrence on 5/22/2017">
      <inputCells r="C5" val="8" numFmtId="164"/>
    </scenario>
    <scenario name="upper_aerial_seed" locked="1" count="1" user="Markel, Evan Lawrence" comment="Created by Markel, Evan Lawrence on 5/22/2017_x000a_Modified by Markel, Evan Lawrence on 5/22/2017">
      <inputCells r="C5" val="12" numFmtId="164"/>
    </scenario>
    <scenario name="lower_q_seed" locked="1" count="1" user="Markel, Evan Lawrence" comment="Created by Markel, Evan Lawrence on 5/22/2017_x000a_Modified by Markel, Evan Lawrence on 5/22/2017">
      <inputCells r="C30" val="4" numFmtId="2"/>
    </scenario>
    <scenario name="upper_q_seed" locked="1" count="1" user="Markel, Evan Lawrence" comment="Created by Markel, Evan Lawrence on 5/22/2017_x000a_Modified by Markel, Evan Lawrence on 5/22/2017">
      <inputCells r="C30" val="6" numFmtId="2"/>
    </scenario>
    <scenario name="lower_p_seed" locked="1" count="1" user="Markel, Evan Lawrence" comment="Created by Markel, Evan Lawrence on 5/22/2017_x000a_Modified by Markel, Evan Lawrence on 5/22/2017">
      <inputCells r="C41" val="2" numFmtId="164"/>
    </scenario>
    <scenario name="upper_p_seed" locked="1" count="1" user="Markel, Evan Lawrence" comment="Created by Markel, Evan Lawrence on 5/22/2017_x000a_Modified by Markel, Evan Lawrence on 5/22/2017">
      <inputCells r="C41" val="3" numFmtId="164"/>
    </scenario>
    <scenario name="lower_nom_interest" locked="1" count="1" user="Markel, Evan Lawrence" comment="Created by Markel, Evan Lawrence on 5/22/2017_x000a_Modified by Markel, Evan Lawrence on 5/22/2017">
      <inputCells r="C54" val="0.048" numFmtId="10"/>
    </scenario>
    <scenario name="upper_nom_interest" locked="1" count="1" user="Markel, Evan Lawrence" comment="Created by Markel, Evan Lawrence on 5/22/2017_x000a_Modified by Markel, Evan Lawrence on 5/22/2017">
      <inputCells r="C54" val="0.072" numFmtId="10"/>
    </scenario>
    <scenario name="lower_penny_yield" locked="1" count="1" user="Markel, Evan Lawrence" comment="Created by Markel, Evan Lawrence on 5/22/2017_x000a_Modified by Markel, Evan Lawrence on 5/22/2017">
      <inputCells r="C8" val="1200" numFmtId="3"/>
    </scenario>
    <scenario name="upper_penny_yield" locked="1" count="1" user="Markel, Evan Lawrence" comment="Created by Markel, Evan Lawrence on 5/22/2017_x000a_Modified by Markel, Evan Lawrence on 5/22/2017">
      <inputCells r="C8" val="1800" numFmtId="3"/>
    </scenario>
    <scenario name="lower_N" locked="1" count="1" user="Markel, Evan Lawrence" comment="Created by Markel, Evan Lawrence on 5/22/2017">
      <inputCells r="C33" val="40" numFmtId="2"/>
    </scenario>
    <scenario name="upper_N" locked="1" count="1" user="Markel, Evan Lawrence" comment="Created by Markel, Evan Lawrence on 5/22/2017">
      <inputCells r="C33" val="60" numFmtId="2"/>
    </scenario>
  </scenarios>
  <mergeCells count="1">
    <mergeCell ref="A1:H1"/>
  </mergeCells>
  <dataValidations count="2">
    <dataValidation type="list" allowBlank="1" showInputMessage="1" showErrorMessage="1" sqref="C54" xr:uid="{00000000-0002-0000-0800-000000000000}">
      <formula1>#REF!</formula1>
    </dataValidation>
    <dataValidation type="list" allowBlank="1" showInputMessage="1" showErrorMessage="1" sqref="C55" xr:uid="{00000000-0002-0000-0800-000001000000}">
      <formula1>#REF!</formula1>
    </dataValidation>
  </dataValidations>
  <hyperlinks>
    <hyperlink ref="E65" r:id="rId1" xr:uid="{00000000-0004-0000-0800-000000000000}"/>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46"/>
  <sheetViews>
    <sheetView topLeftCell="A9" zoomScale="120" zoomScaleNormal="120" workbookViewId="0">
      <selection activeCell="B27" sqref="B27"/>
    </sheetView>
  </sheetViews>
  <sheetFormatPr defaultColWidth="8.7109375" defaultRowHeight="15" x14ac:dyDescent="0.25"/>
  <cols>
    <col min="1" max="1" width="32.28515625" style="360" customWidth="1"/>
    <col min="2" max="2" width="34.85546875" style="360" customWidth="1"/>
    <col min="3" max="3" width="31.7109375" style="360" customWidth="1"/>
    <col min="4" max="5" width="21" style="360" customWidth="1"/>
    <col min="6" max="6" width="16.5703125" style="360" bestFit="1" customWidth="1"/>
    <col min="7" max="7" width="21.5703125" style="360" bestFit="1" customWidth="1"/>
    <col min="8" max="8" width="16.42578125" style="360" customWidth="1"/>
    <col min="9" max="9" width="19" style="360" bestFit="1" customWidth="1"/>
    <col min="10" max="10" width="17" style="360" bestFit="1" customWidth="1"/>
    <col min="11" max="11" width="13.7109375" style="360" bestFit="1" customWidth="1"/>
    <col min="12" max="12" width="13.5703125" style="360" customWidth="1"/>
    <col min="13" max="16384" width="8.7109375" style="360"/>
  </cols>
  <sheetData>
    <row r="1" spans="1:48" x14ac:dyDescent="0.25">
      <c r="A1" s="108" t="s">
        <v>462</v>
      </c>
      <c r="B1" s="359"/>
      <c r="C1" s="359"/>
      <c r="D1" s="359"/>
      <c r="E1" s="359"/>
      <c r="F1" s="359"/>
      <c r="G1" s="359"/>
      <c r="H1" s="359"/>
      <c r="I1" s="359"/>
      <c r="J1" s="359"/>
      <c r="K1" s="359"/>
      <c r="L1" s="359"/>
      <c r="M1" s="359"/>
      <c r="N1" s="359"/>
      <c r="O1" s="359"/>
      <c r="P1" s="359"/>
      <c r="Q1" s="359"/>
    </row>
    <row r="2" spans="1:48" x14ac:dyDescent="0.25">
      <c r="A2" s="359" t="s">
        <v>386</v>
      </c>
      <c r="B2" s="359" t="s">
        <v>387</v>
      </c>
      <c r="C2" s="359" t="s">
        <v>388</v>
      </c>
      <c r="D2" s="359"/>
      <c r="E2" s="361" t="s">
        <v>457</v>
      </c>
      <c r="F2" s="361" t="s">
        <v>458</v>
      </c>
      <c r="G2" s="361" t="s">
        <v>389</v>
      </c>
      <c r="H2" s="362" t="s">
        <v>148</v>
      </c>
      <c r="I2" s="361" t="s">
        <v>150</v>
      </c>
      <c r="J2" s="361" t="s">
        <v>152</v>
      </c>
      <c r="K2" s="728" t="s">
        <v>448</v>
      </c>
      <c r="L2" s="359"/>
      <c r="M2" s="363"/>
      <c r="N2" s="359"/>
      <c r="O2" s="359"/>
      <c r="P2" s="359"/>
      <c r="Q2" s="359"/>
      <c r="R2" s="373"/>
      <c r="S2" s="373"/>
      <c r="T2" s="373"/>
      <c r="U2" s="373" t="s">
        <v>311</v>
      </c>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row>
    <row r="3" spans="1:48" ht="17.25" x14ac:dyDescent="0.25">
      <c r="E3" s="729" t="s">
        <v>554</v>
      </c>
      <c r="F3" s="729" t="s">
        <v>555</v>
      </c>
      <c r="G3" s="729" t="s">
        <v>555</v>
      </c>
      <c r="H3" s="729" t="s">
        <v>556</v>
      </c>
      <c r="I3" s="729" t="s">
        <v>557</v>
      </c>
      <c r="J3" s="729" t="s">
        <v>556</v>
      </c>
    </row>
    <row r="4" spans="1:48" x14ac:dyDescent="0.25">
      <c r="A4" s="360" t="s">
        <v>390</v>
      </c>
      <c r="B4" s="360" t="s">
        <v>391</v>
      </c>
      <c r="C4" s="360">
        <v>31</v>
      </c>
      <c r="D4" s="360" t="s">
        <v>392</v>
      </c>
      <c r="E4" s="364">
        <v>2.976</v>
      </c>
      <c r="F4" s="364">
        <v>13.34</v>
      </c>
      <c r="G4" s="364">
        <v>21.1</v>
      </c>
      <c r="H4" s="364">
        <v>0.45</v>
      </c>
      <c r="I4" s="364">
        <v>0.56999999999999995</v>
      </c>
      <c r="J4" s="364">
        <v>0.17</v>
      </c>
      <c r="K4" s="365" t="s">
        <v>393</v>
      </c>
    </row>
    <row r="5" spans="1:48" x14ac:dyDescent="0.25">
      <c r="A5" s="360" t="s">
        <v>390</v>
      </c>
      <c r="B5" s="360" t="s">
        <v>394</v>
      </c>
      <c r="C5" s="360">
        <v>175</v>
      </c>
      <c r="D5" s="360" t="s">
        <v>395</v>
      </c>
      <c r="E5" s="364">
        <v>2.4769999999999999</v>
      </c>
      <c r="F5" s="364">
        <v>14.4</v>
      </c>
      <c r="G5" s="364">
        <v>23.72</v>
      </c>
      <c r="H5" s="364">
        <v>0.38</v>
      </c>
      <c r="I5" s="364">
        <v>0.31</v>
      </c>
      <c r="J5" s="364">
        <v>0.28999999999999998</v>
      </c>
      <c r="K5" s="365" t="s">
        <v>396</v>
      </c>
    </row>
    <row r="6" spans="1:48" x14ac:dyDescent="0.25">
      <c r="A6" s="360" t="s">
        <v>397</v>
      </c>
      <c r="B6" s="360" t="s">
        <v>398</v>
      </c>
      <c r="C6" s="360">
        <v>78</v>
      </c>
      <c r="D6" s="360" t="s">
        <v>399</v>
      </c>
      <c r="E6" s="364">
        <v>2.5289999999999999</v>
      </c>
      <c r="F6" s="364">
        <v>11.71</v>
      </c>
      <c r="G6" s="364">
        <v>24.01</v>
      </c>
      <c r="H6" s="364">
        <v>0.5</v>
      </c>
      <c r="I6" s="364">
        <v>0.4</v>
      </c>
      <c r="J6" s="364">
        <v>0.35</v>
      </c>
      <c r="K6" s="365" t="s">
        <v>400</v>
      </c>
    </row>
    <row r="7" spans="1:48" x14ac:dyDescent="0.25">
      <c r="A7" s="360" t="s">
        <v>397</v>
      </c>
      <c r="B7" s="360" t="s">
        <v>401</v>
      </c>
      <c r="C7" s="360">
        <v>242</v>
      </c>
      <c r="D7" s="360" t="s">
        <v>402</v>
      </c>
      <c r="E7" s="364">
        <v>2.262</v>
      </c>
      <c r="F7" s="364">
        <v>11.83</v>
      </c>
      <c r="G7" s="364">
        <v>20.02</v>
      </c>
      <c r="H7" s="364">
        <v>0.55000000000000004</v>
      </c>
      <c r="I7" s="364">
        <v>0.5</v>
      </c>
      <c r="J7" s="364">
        <v>0.3</v>
      </c>
      <c r="K7" s="365" t="s">
        <v>403</v>
      </c>
      <c r="U7" s="360" t="s">
        <v>404</v>
      </c>
    </row>
    <row r="8" spans="1:48" x14ac:dyDescent="0.25">
      <c r="A8" s="366" t="s">
        <v>405</v>
      </c>
      <c r="B8" s="366" t="s">
        <v>406</v>
      </c>
      <c r="C8" s="366">
        <v>67</v>
      </c>
      <c r="D8" s="366" t="s">
        <v>407</v>
      </c>
      <c r="E8" s="367">
        <v>2.4590000000000001</v>
      </c>
      <c r="F8" s="367">
        <v>12.4</v>
      </c>
      <c r="G8" s="367">
        <v>23.66</v>
      </c>
      <c r="H8" s="367">
        <v>0.44</v>
      </c>
      <c r="I8" s="367">
        <v>0.33</v>
      </c>
      <c r="J8" s="367">
        <v>0.32</v>
      </c>
      <c r="K8" s="365" t="s">
        <v>408</v>
      </c>
      <c r="U8" s="360" t="s">
        <v>409</v>
      </c>
    </row>
    <row r="9" spans="1:48" x14ac:dyDescent="0.25">
      <c r="A9" s="360" t="s">
        <v>410</v>
      </c>
      <c r="B9" s="360" t="s">
        <v>411</v>
      </c>
      <c r="C9" s="360">
        <v>98</v>
      </c>
      <c r="D9" s="360" t="s">
        <v>412</v>
      </c>
      <c r="E9" s="364">
        <v>2.395</v>
      </c>
      <c r="F9" s="364">
        <v>12.67</v>
      </c>
      <c r="G9" s="364">
        <v>20.47</v>
      </c>
      <c r="H9" s="364">
        <v>0.35</v>
      </c>
      <c r="I9" s="364">
        <v>0.18</v>
      </c>
      <c r="J9" s="364">
        <v>0.15</v>
      </c>
      <c r="K9" s="365" t="s">
        <v>413</v>
      </c>
      <c r="U9" s="360" t="s">
        <v>414</v>
      </c>
    </row>
    <row r="10" spans="1:48" x14ac:dyDescent="0.25">
      <c r="A10" s="360" t="s">
        <v>415</v>
      </c>
      <c r="B10" s="360" t="s">
        <v>416</v>
      </c>
      <c r="C10" s="360">
        <v>140</v>
      </c>
      <c r="D10" s="360" t="s">
        <v>417</v>
      </c>
      <c r="E10" s="364">
        <v>2.65</v>
      </c>
      <c r="F10" s="364">
        <v>14.52</v>
      </c>
      <c r="G10" s="364">
        <v>20.350000000000001</v>
      </c>
      <c r="H10" s="364">
        <f>504/2000</f>
        <v>0.252</v>
      </c>
      <c r="I10" s="364">
        <f>404/2000</f>
        <v>0.20200000000000001</v>
      </c>
      <c r="J10" s="364">
        <f>361/2000</f>
        <v>0.18049999999999999</v>
      </c>
      <c r="K10" s="365" t="s">
        <v>418</v>
      </c>
      <c r="U10" s="360" t="s">
        <v>419</v>
      </c>
    </row>
    <row r="11" spans="1:48" x14ac:dyDescent="0.25">
      <c r="A11" s="360" t="s">
        <v>420</v>
      </c>
      <c r="B11" s="360" t="s">
        <v>421</v>
      </c>
      <c r="C11" s="360">
        <v>202</v>
      </c>
      <c r="D11" s="360" t="s">
        <v>422</v>
      </c>
      <c r="E11" s="364">
        <v>2.3889999999999998</v>
      </c>
      <c r="F11" s="364">
        <v>14.99</v>
      </c>
      <c r="G11" s="364">
        <v>22.24</v>
      </c>
      <c r="H11" s="364">
        <v>0.28000000000000003</v>
      </c>
      <c r="I11" s="364">
        <v>0.39</v>
      </c>
      <c r="J11" s="364"/>
      <c r="K11" s="365" t="s">
        <v>423</v>
      </c>
      <c r="U11" s="360" t="s">
        <v>424</v>
      </c>
    </row>
    <row r="12" spans="1:48" x14ac:dyDescent="0.25">
      <c r="A12" s="360" t="s">
        <v>425</v>
      </c>
      <c r="B12" s="360" t="s">
        <v>426</v>
      </c>
      <c r="C12" s="360">
        <v>270</v>
      </c>
      <c r="D12" s="360" t="s">
        <v>427</v>
      </c>
      <c r="E12" s="364">
        <v>2.5310000000000001</v>
      </c>
      <c r="F12" s="364">
        <v>14.99</v>
      </c>
      <c r="G12" s="364">
        <v>22.84</v>
      </c>
      <c r="H12" s="364">
        <v>0.45</v>
      </c>
      <c r="I12" s="364">
        <v>0.41</v>
      </c>
      <c r="J12" s="364">
        <v>0.5</v>
      </c>
      <c r="K12" s="365" t="s">
        <v>428</v>
      </c>
      <c r="U12" s="360" t="s">
        <v>429</v>
      </c>
    </row>
    <row r="13" spans="1:48" x14ac:dyDescent="0.25">
      <c r="A13" s="360" t="s">
        <v>430</v>
      </c>
      <c r="B13" s="360" t="s">
        <v>431</v>
      </c>
      <c r="C13" s="360">
        <v>305</v>
      </c>
      <c r="D13" s="360" t="s">
        <v>432</v>
      </c>
      <c r="E13" s="364">
        <v>2.5840000000000001</v>
      </c>
      <c r="F13" s="364">
        <v>14.26</v>
      </c>
      <c r="G13" s="364">
        <v>23.06</v>
      </c>
      <c r="H13" s="364">
        <v>0.42</v>
      </c>
      <c r="I13" s="364">
        <v>0.48</v>
      </c>
      <c r="J13" s="364"/>
      <c r="K13" s="365" t="s">
        <v>433</v>
      </c>
      <c r="U13" s="360" t="s">
        <v>434</v>
      </c>
    </row>
    <row r="14" spans="1:48" x14ac:dyDescent="0.25">
      <c r="A14" s="360" t="s">
        <v>435</v>
      </c>
      <c r="B14" s="360" t="s">
        <v>436</v>
      </c>
      <c r="C14" s="360">
        <v>288</v>
      </c>
      <c r="D14" s="360" t="s">
        <v>437</v>
      </c>
      <c r="E14" s="364">
        <v>3.496</v>
      </c>
      <c r="F14" s="364">
        <v>12.91</v>
      </c>
      <c r="G14" s="364">
        <v>22.15</v>
      </c>
      <c r="H14" s="364">
        <v>0.68</v>
      </c>
      <c r="I14" s="368">
        <v>0.65</v>
      </c>
      <c r="J14" s="364">
        <v>0.15</v>
      </c>
      <c r="K14" s="365" t="s">
        <v>438</v>
      </c>
      <c r="U14" s="360" t="s">
        <v>439</v>
      </c>
    </row>
    <row r="15" spans="1:48" x14ac:dyDescent="0.25">
      <c r="A15" s="360" t="s">
        <v>435</v>
      </c>
      <c r="B15" s="360" t="s">
        <v>440</v>
      </c>
      <c r="C15" s="360">
        <v>85</v>
      </c>
      <c r="D15" s="360" t="s">
        <v>441</v>
      </c>
      <c r="E15" s="364">
        <v>2.843</v>
      </c>
      <c r="F15" s="364">
        <v>15.83</v>
      </c>
      <c r="G15" s="364">
        <v>24.43</v>
      </c>
      <c r="H15" s="364">
        <v>0.59</v>
      </c>
      <c r="I15" s="364">
        <v>0.71</v>
      </c>
      <c r="J15" s="364"/>
      <c r="K15" s="365" t="s">
        <v>433</v>
      </c>
      <c r="S15" s="374"/>
      <c r="T15" s="374"/>
      <c r="U15" s="374" t="s">
        <v>442</v>
      </c>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row>
    <row r="16" spans="1:48" x14ac:dyDescent="0.25">
      <c r="A16" s="359" t="s">
        <v>435</v>
      </c>
      <c r="B16" s="359" t="s">
        <v>443</v>
      </c>
      <c r="C16" s="359"/>
      <c r="D16" s="359" t="s">
        <v>443</v>
      </c>
      <c r="E16" s="369">
        <v>2.6360000000000001</v>
      </c>
      <c r="F16" s="369">
        <v>11.71</v>
      </c>
      <c r="G16" s="369">
        <v>22.63</v>
      </c>
      <c r="H16" s="369">
        <v>0.5</v>
      </c>
      <c r="I16" s="369">
        <v>0.4</v>
      </c>
      <c r="J16" s="369">
        <v>0.35</v>
      </c>
      <c r="K16" s="363" t="s">
        <v>400</v>
      </c>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row>
    <row r="17" spans="6:14" x14ac:dyDescent="0.25">
      <c r="F17" s="370"/>
      <c r="H17" s="370"/>
      <c r="L17" s="371"/>
      <c r="N17" s="365"/>
    </row>
    <row r="18" spans="6:14" x14ac:dyDescent="0.25">
      <c r="G18" s="365"/>
      <c r="L18" s="371"/>
    </row>
    <row r="21" spans="6:14" x14ac:dyDescent="0.25">
      <c r="G21" s="365"/>
    </row>
    <row r="46" spans="7:7" ht="15.75" x14ac:dyDescent="0.25">
      <c r="G46" s="372"/>
    </row>
  </sheetData>
  <hyperlinks>
    <hyperlink ref="L16" r:id="rId1" display="https://agecon.uga.edu/extension/budgets.html" xr:uid="{00000000-0004-0000-0900-000000000000}"/>
    <hyperlink ref="L15" r:id="rId2" display="https://www.uidaho.edu/cals/idaho-agbiz/crop-budgets" xr:uid="{00000000-0004-0000-0900-000001000000}"/>
    <hyperlink ref="L14" r:id="rId3" display="https://coststudies.ucdavis.edu/en/current/" xr:uid="{00000000-0004-0000-0900-000002000000}"/>
    <hyperlink ref="L13" r:id="rId4" display="https://www.uidaho.edu/cals/idaho-agbiz/crop-budgets" xr:uid="{00000000-0004-0000-0900-000003000000}"/>
    <hyperlink ref="L12" r:id="rId5" display="https://extension.sdstate.edu/crop-budgets" xr:uid="{00000000-0004-0000-0900-000004000000}"/>
    <hyperlink ref="L11" r:id="rId6" display="https://www.agmanager.info/sites/default/files/wysiwyg/Corn Cost-Return Budget in South Central Kansas_Average Yield_Oct-31-2019.pdf" xr:uid="{00000000-0004-0000-0900-000005000000}"/>
    <hyperlink ref="L10" r:id="rId7" display="https://farmdoc.illinois.edu/fast-tools/planting-decision-model" xr:uid="{00000000-0004-0000-0900-000006000000}"/>
    <hyperlink ref="L9" r:id="rId8" display="https://www.uaex.edu/farm-ranch/economics-marketing/farm-planning/budgets/T6_CornConv_NoIrr_2021.pdf" xr:uid="{00000000-0004-0000-0900-000007000000}"/>
    <hyperlink ref="L8" r:id="rId9" display="https://arec.tennessee.edu/extension/budgets/" xr:uid="{00000000-0004-0000-0900-000008000000}"/>
    <hyperlink ref="L7" r:id="rId10" display="https://agecoext.tamu.edu/resources/crop-livestock-budgets/budgets-by-extension-district/district-5-east/2021-district-5-texas-crop-and-livestock-budgets/" xr:uid="{00000000-0004-0000-0900-000009000000}"/>
    <hyperlink ref="L6" r:id="rId11" display="https://agecon.uga.edu/extension/budgets.html" xr:uid="{00000000-0004-0000-0900-00000A000000}"/>
    <hyperlink ref="L4" r:id="rId12" display="C:\Users\benglish.UTK\Downloads\industrial-hemp-grain-production-budget.pdf" xr:uid="{00000000-0004-0000-0900-00000B000000}"/>
    <hyperlink ref="L5" r:id="rId13" display="https://farms.extension.wisc.edu/topics/budgets-and-benchmarks/" xr:uid="{00000000-0004-0000-0900-00000C000000}"/>
  </hyperlinks>
  <pageMargins left="0.7" right="0.7" top="0.75" bottom="0.75" header="0.3" footer="0.3"/>
  <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4BBB3AE571224A9F252BAC44A110D8" ma:contentTypeVersion="4" ma:contentTypeDescription="Create a new document." ma:contentTypeScope="" ma:versionID="e1c80dbe0a79517f8d0ca16290d3d68e">
  <xsd:schema xmlns:xsd="http://www.w3.org/2001/XMLSchema" xmlns:xs="http://www.w3.org/2001/XMLSchema" xmlns:p="http://schemas.microsoft.com/office/2006/metadata/properties" xmlns:ns2="f319b168-b762-4a56-80c6-f10958a7779b" targetNamespace="http://schemas.microsoft.com/office/2006/metadata/properties" ma:root="true" ma:fieldsID="381482df28df5e1b4c3680eeefc56f58" ns2:_="">
    <xsd:import namespace="f319b168-b762-4a56-80c6-f10958a777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9b168-b762-4a56-80c6-f10958a7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9C2B44-19DD-405A-80C2-A5CFA4BFD72E}">
  <ds:schemaRef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f319b168-b762-4a56-80c6-f10958a7779b"/>
    <ds:schemaRef ds:uri="http://www.w3.org/XML/1998/namespace"/>
  </ds:schemaRefs>
</ds:datastoreItem>
</file>

<file path=customXml/itemProps2.xml><?xml version="1.0" encoding="utf-8"?>
<ds:datastoreItem xmlns:ds="http://schemas.openxmlformats.org/officeDocument/2006/customXml" ds:itemID="{69168CA4-FB76-45B6-8FDB-B486AF0EE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9b168-b762-4a56-80c6-f10958a77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68936E-B21F-4735-8CA8-974A673F58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263</vt:i4>
      </vt:variant>
    </vt:vector>
  </HeadingPairs>
  <TitlesOfParts>
    <vt:vector size="274" baseType="lpstr">
      <vt:lpstr>Read_Me</vt:lpstr>
      <vt:lpstr>Budget Summary</vt:lpstr>
      <vt:lpstr>RiskSerializationData</vt:lpstr>
      <vt:lpstr>Sensitivity</vt:lpstr>
      <vt:lpstr>Establishment</vt:lpstr>
      <vt:lpstr>Management</vt:lpstr>
      <vt:lpstr>Harvest &amp; Transportation</vt:lpstr>
      <vt:lpstr>Assumptions</vt:lpstr>
      <vt:lpstr>National Analysis</vt:lpstr>
      <vt:lpstr>Farm Machinery Cost Calculation</vt:lpstr>
      <vt:lpstr>Farm Machinery</vt:lpstr>
      <vt:lpstr>aerial_seed_rent</vt:lpstr>
      <vt:lpstr>ASABE_Standards_2009</vt:lpstr>
      <vt:lpstr>Average_Machine_Age</vt:lpstr>
      <vt:lpstr>BE_PC_Price</vt:lpstr>
      <vt:lpstr>disc_rate</vt:lpstr>
      <vt:lpstr>farm_labor_cost</vt:lpstr>
      <vt:lpstr>fertilizer_tractor</vt:lpstr>
      <vt:lpstr>FF1_Machine1</vt:lpstr>
      <vt:lpstr>FF1_Machine10</vt:lpstr>
      <vt:lpstr>FF1_Machine11</vt:lpstr>
      <vt:lpstr>FF1_Machine13</vt:lpstr>
      <vt:lpstr>FF1_Machine2</vt:lpstr>
      <vt:lpstr>FF1_Machine3</vt:lpstr>
      <vt:lpstr>FF1_Machine4</vt:lpstr>
      <vt:lpstr>FF1_Machine5</vt:lpstr>
      <vt:lpstr>FF1_Machine6</vt:lpstr>
      <vt:lpstr>FF1_Machine7</vt:lpstr>
      <vt:lpstr>FF1_Machine8</vt:lpstr>
      <vt:lpstr>FF1_Machine9</vt:lpstr>
      <vt:lpstr>FF2_Machine1</vt:lpstr>
      <vt:lpstr>FF2_Machine10</vt:lpstr>
      <vt:lpstr>FF2_Machine11</vt:lpstr>
      <vt:lpstr>FF2_Machine13</vt:lpstr>
      <vt:lpstr>FF2_Machine2</vt:lpstr>
      <vt:lpstr>FF2_Machine3</vt:lpstr>
      <vt:lpstr>FF2_Machine4</vt:lpstr>
      <vt:lpstr>FF2_Machine5</vt:lpstr>
      <vt:lpstr>FF2_Machine6</vt:lpstr>
      <vt:lpstr>FF2_Machine7</vt:lpstr>
      <vt:lpstr>FF2_Machine8</vt:lpstr>
      <vt:lpstr>FF2_Machine9</vt:lpstr>
      <vt:lpstr>fuel_gal</vt:lpstr>
      <vt:lpstr>fungicide_spray</vt:lpstr>
      <vt:lpstr>harvest_combine</vt:lpstr>
      <vt:lpstr>harvest_mow</vt:lpstr>
      <vt:lpstr>haul_grain_cart</vt:lpstr>
      <vt:lpstr>herbicide_spray</vt:lpstr>
      <vt:lpstr>housing</vt:lpstr>
      <vt:lpstr>HUL_Machine1</vt:lpstr>
      <vt:lpstr>HUL_Machine10</vt:lpstr>
      <vt:lpstr>HUL_Machine11</vt:lpstr>
      <vt:lpstr>HUL_Machine12</vt:lpstr>
      <vt:lpstr>HUL_Machine13</vt:lpstr>
      <vt:lpstr>HUL_Machine14</vt:lpstr>
      <vt:lpstr>HUL_Machine15</vt:lpstr>
      <vt:lpstr>HUL_Machine16</vt:lpstr>
      <vt:lpstr>HUL_Machine17</vt:lpstr>
      <vt:lpstr>HUL_Machine2</vt:lpstr>
      <vt:lpstr>HUL_Machine3</vt:lpstr>
      <vt:lpstr>HUL_Machine4</vt:lpstr>
      <vt:lpstr>HUL_Machine5</vt:lpstr>
      <vt:lpstr>HUL_Machine6</vt:lpstr>
      <vt:lpstr>HUL_Machine7</vt:lpstr>
      <vt:lpstr>HUL_Machine8</vt:lpstr>
      <vt:lpstr>HUL_Machine9</vt:lpstr>
      <vt:lpstr>HUY_Machine1</vt:lpstr>
      <vt:lpstr>HUY_Machine10</vt:lpstr>
      <vt:lpstr>HUY_Machine11</vt:lpstr>
      <vt:lpstr>HUY_Machine12</vt:lpstr>
      <vt:lpstr>HUY_Machine13</vt:lpstr>
      <vt:lpstr>HUY_Machine134</vt:lpstr>
      <vt:lpstr>HUY_Machine14</vt:lpstr>
      <vt:lpstr>HUY_Machine15</vt:lpstr>
      <vt:lpstr>HUY_Machine16</vt:lpstr>
      <vt:lpstr>HUY_Machine17</vt:lpstr>
      <vt:lpstr>HUY_Machine2</vt:lpstr>
      <vt:lpstr>HUY_Machine3</vt:lpstr>
      <vt:lpstr>HUY_Machine4</vt:lpstr>
      <vt:lpstr>HUY_Machine5</vt:lpstr>
      <vt:lpstr>HUY_Machine6</vt:lpstr>
      <vt:lpstr>HUY_Machine7</vt:lpstr>
      <vt:lpstr>HUY_Machine8</vt:lpstr>
      <vt:lpstr>HUY_Machine9</vt:lpstr>
      <vt:lpstr>insecticide_spray</vt:lpstr>
      <vt:lpstr>insurance</vt:lpstr>
      <vt:lpstr>labor_factor_machine</vt:lpstr>
      <vt:lpstr>lb_tons</vt:lpstr>
      <vt:lpstr>Lub_Factor</vt:lpstr>
      <vt:lpstr>Machine14_Acre_Hour</vt:lpstr>
      <vt:lpstr>NA</vt:lpstr>
      <vt:lpstr>nom_interest</vt:lpstr>
      <vt:lpstr>Sensitivity!OLE_LINK1</vt:lpstr>
      <vt:lpstr>p_boron</vt:lpstr>
      <vt:lpstr>p_broadleaf_herbicide</vt:lpstr>
      <vt:lpstr>p_fall_glyphosate</vt:lpstr>
      <vt:lpstr>p_fungicide</vt:lpstr>
      <vt:lpstr>p_insecticide</vt:lpstr>
      <vt:lpstr>p_K2O</vt:lpstr>
      <vt:lpstr>p_lime</vt:lpstr>
      <vt:lpstr>p_N</vt:lpstr>
      <vt:lpstr>p_P2O5</vt:lpstr>
      <vt:lpstr>p_preharvest_herbicide</vt:lpstr>
      <vt:lpstr>p_seed</vt:lpstr>
      <vt:lpstr>p_spring_glyphosate</vt:lpstr>
      <vt:lpstr>p_sulfur</vt:lpstr>
      <vt:lpstr>p_UAN</vt:lpstr>
      <vt:lpstr>pasture_rent</vt:lpstr>
      <vt:lpstr>pennycress_oil_content</vt:lpstr>
      <vt:lpstr>pennycress_pounds_bushel</vt:lpstr>
      <vt:lpstr>pennycress_price</vt:lpstr>
      <vt:lpstr>pennycress_yield</vt:lpstr>
      <vt:lpstr>plant_notill_drill</vt:lpstr>
      <vt:lpstr>postemerge_spray60</vt:lpstr>
      <vt:lpstr>PP_Machine1</vt:lpstr>
      <vt:lpstr>PP_Machine10</vt:lpstr>
      <vt:lpstr>PP_Machine11</vt:lpstr>
      <vt:lpstr>PP_Machine12</vt:lpstr>
      <vt:lpstr>PP_Machine13</vt:lpstr>
      <vt:lpstr>PP_Machine14</vt:lpstr>
      <vt:lpstr>PP_Machine15</vt:lpstr>
      <vt:lpstr>PP_Machine16</vt:lpstr>
      <vt:lpstr>PP_Machine17</vt:lpstr>
      <vt:lpstr>PP_Machine2</vt:lpstr>
      <vt:lpstr>PP_Machine3</vt:lpstr>
      <vt:lpstr>PP_Machine4</vt:lpstr>
      <vt:lpstr>PP_Machine5</vt:lpstr>
      <vt:lpstr>PP_Machine6</vt:lpstr>
      <vt:lpstr>PP_Machine7</vt:lpstr>
      <vt:lpstr>PP_Machine8</vt:lpstr>
      <vt:lpstr>PP_Machine9</vt:lpstr>
      <vt:lpstr>PTO_Machine1</vt:lpstr>
      <vt:lpstr>PTO_Machine10</vt:lpstr>
      <vt:lpstr>PTO_Machine11</vt:lpstr>
      <vt:lpstr>PTO_Machine13</vt:lpstr>
      <vt:lpstr>PTO_Machine2</vt:lpstr>
      <vt:lpstr>PTO_Machine3</vt:lpstr>
      <vt:lpstr>PTO_Machine4</vt:lpstr>
      <vt:lpstr>PTO_Machine5</vt:lpstr>
      <vt:lpstr>PTO_Machine6</vt:lpstr>
      <vt:lpstr>PTO_Machine7</vt:lpstr>
      <vt:lpstr>PTO_Machine8</vt:lpstr>
      <vt:lpstr>PTO_Machine9</vt:lpstr>
      <vt:lpstr>purchase_list_factor</vt:lpstr>
      <vt:lpstr>q_boron</vt:lpstr>
      <vt:lpstr>q_broadleaf_herbicide</vt:lpstr>
      <vt:lpstr>q_fall_glyphosate</vt:lpstr>
      <vt:lpstr>q_fungicide</vt:lpstr>
      <vt:lpstr>q_insecticide</vt:lpstr>
      <vt:lpstr>q_K2O</vt:lpstr>
      <vt:lpstr>q_lime</vt:lpstr>
      <vt:lpstr>q_N</vt:lpstr>
      <vt:lpstr>q_P2O5</vt:lpstr>
      <vt:lpstr>q_preharvest_herbicide</vt:lpstr>
      <vt:lpstr>q_seed</vt:lpstr>
      <vt:lpstr>q_spring_glyphosate</vt:lpstr>
      <vt:lpstr>q_sulfur</vt:lpstr>
      <vt:lpstr>real_interest</vt:lpstr>
      <vt:lpstr>RF1_Machine1</vt:lpstr>
      <vt:lpstr>RF1_Machine10</vt:lpstr>
      <vt:lpstr>RF1_Machine11</vt:lpstr>
      <vt:lpstr>RF1_Machine13</vt:lpstr>
      <vt:lpstr>RF1_Machine14</vt:lpstr>
      <vt:lpstr>RF1_Machine15</vt:lpstr>
      <vt:lpstr>RF1_Machine16</vt:lpstr>
      <vt:lpstr>RF1_Machine17</vt:lpstr>
      <vt:lpstr>RF1_Machine2</vt:lpstr>
      <vt:lpstr>RF1_Machine3</vt:lpstr>
      <vt:lpstr>RF1_Machine4</vt:lpstr>
      <vt:lpstr>RF1_Machine5</vt:lpstr>
      <vt:lpstr>RF1_Machine6</vt:lpstr>
      <vt:lpstr>RF1_Machine7</vt:lpstr>
      <vt:lpstr>RF1_Machine8</vt:lpstr>
      <vt:lpstr>RF1_Machine9</vt:lpstr>
      <vt:lpstr>RF2_Machine1</vt:lpstr>
      <vt:lpstr>RF2_Machine10</vt:lpstr>
      <vt:lpstr>RF2_Machine11</vt:lpstr>
      <vt:lpstr>RF2_Machine13</vt:lpstr>
      <vt:lpstr>RF2_Machine14</vt:lpstr>
      <vt:lpstr>RF2_Machine15</vt:lpstr>
      <vt:lpstr>RF2_Machine16</vt:lpstr>
      <vt:lpstr>RF2_Machine17</vt:lpstr>
      <vt:lpstr>RF2_Machine2</vt:lpstr>
      <vt:lpstr>RF2_Machine3</vt:lpstr>
      <vt:lpstr>RF2_Machine4</vt:lpstr>
      <vt:lpstr>RF2_Machine5</vt:lpstr>
      <vt:lpstr>RF2_Machine6</vt:lpstr>
      <vt:lpstr>RF2_Machine7</vt:lpstr>
      <vt:lpstr>RF2_Machine8</vt:lpstr>
      <vt:lpstr>RF2_Machine9</vt:lpstr>
      <vt:lpstr>RMF_Machine1</vt:lpstr>
      <vt:lpstr>RMF_Machine10</vt:lpstr>
      <vt:lpstr>RMF_Machine11</vt:lpstr>
      <vt:lpstr>RMF_Machine13</vt:lpstr>
      <vt:lpstr>RMF_Machine14</vt:lpstr>
      <vt:lpstr>RMF_Machine15</vt:lpstr>
      <vt:lpstr>RMF_Machine16</vt:lpstr>
      <vt:lpstr>RMF_Machine17</vt:lpstr>
      <vt:lpstr>RMF_Machine2</vt:lpstr>
      <vt:lpstr>RMF_Machine3</vt:lpstr>
      <vt:lpstr>RMF_Machine4</vt:lpstr>
      <vt:lpstr>RMF_Machine5</vt:lpstr>
      <vt:lpstr>RMF_Machine6</vt:lpstr>
      <vt:lpstr>RMF_Machine7</vt:lpstr>
      <vt:lpstr>RMF_Machine8</vt:lpstr>
      <vt:lpstr>RMF_Machine9</vt:lpstr>
      <vt:lpstr>rotary_mow_HPA</vt:lpstr>
      <vt:lpstr>salvage_factor_gravelpad</vt:lpstr>
      <vt:lpstr>semi_tractor_capacity</vt:lpstr>
      <vt:lpstr>Soybean_price</vt:lpstr>
      <vt:lpstr>Soybean_yield_loss</vt:lpstr>
      <vt:lpstr>spray_90_HPA</vt:lpstr>
      <vt:lpstr>spring_spray60</vt:lpstr>
      <vt:lpstr>SVF1_Machine1</vt:lpstr>
      <vt:lpstr>SVF1_Machine10</vt:lpstr>
      <vt:lpstr>SVF1_Machine11</vt:lpstr>
      <vt:lpstr>SVF1_Machine13</vt:lpstr>
      <vt:lpstr>SVF1_Machine14</vt:lpstr>
      <vt:lpstr>SVF1_Machine15</vt:lpstr>
      <vt:lpstr>SVF1_Machine16</vt:lpstr>
      <vt:lpstr>SVF1_Machine17</vt:lpstr>
      <vt:lpstr>SVF1_Machine2</vt:lpstr>
      <vt:lpstr>SVF1_Machine3</vt:lpstr>
      <vt:lpstr>SVF1_Machine4</vt:lpstr>
      <vt:lpstr>SVF1_Machine5</vt:lpstr>
      <vt:lpstr>SVF1_Machine6</vt:lpstr>
      <vt:lpstr>SVF1_Machine7</vt:lpstr>
      <vt:lpstr>SVF1_Machine8</vt:lpstr>
      <vt:lpstr>SVF1_Machine9</vt:lpstr>
      <vt:lpstr>SVF2_Machine1</vt:lpstr>
      <vt:lpstr>SVF2_Machine10</vt:lpstr>
      <vt:lpstr>SVF2_Machine11</vt:lpstr>
      <vt:lpstr>SVF2_Machine13</vt:lpstr>
      <vt:lpstr>SVF2_Machine14</vt:lpstr>
      <vt:lpstr>SVF2_Machine15</vt:lpstr>
      <vt:lpstr>SVF2_Machine16</vt:lpstr>
      <vt:lpstr>SVF2_Machine17</vt:lpstr>
      <vt:lpstr>SVF2_Machine2</vt:lpstr>
      <vt:lpstr>SVF2_Machine3</vt:lpstr>
      <vt:lpstr>SVF2_Machine4</vt:lpstr>
      <vt:lpstr>SVF2_Machine5</vt:lpstr>
      <vt:lpstr>SVF2_Machine6</vt:lpstr>
      <vt:lpstr>SVF2_Machine7</vt:lpstr>
      <vt:lpstr>SVF2_Machine8</vt:lpstr>
      <vt:lpstr>SVF2_Machine9</vt:lpstr>
      <vt:lpstr>SVF3_Machine1</vt:lpstr>
      <vt:lpstr>SVF3_Machine10</vt:lpstr>
      <vt:lpstr>SVF3_Machine11</vt:lpstr>
      <vt:lpstr>SVF3_Machine13</vt:lpstr>
      <vt:lpstr>SVF3_Machine14</vt:lpstr>
      <vt:lpstr>SVF3_Machine15</vt:lpstr>
      <vt:lpstr>SVF3_Machine16</vt:lpstr>
      <vt:lpstr>SVF3_Machine17</vt:lpstr>
      <vt:lpstr>SVF3_Machine2</vt:lpstr>
      <vt:lpstr>SVF3_Machine3</vt:lpstr>
      <vt:lpstr>SVF3_Machine4</vt:lpstr>
      <vt:lpstr>SVF3_Machine5</vt:lpstr>
      <vt:lpstr>SVF3_Machine6</vt:lpstr>
      <vt:lpstr>SVF3_Machine7</vt:lpstr>
      <vt:lpstr>SVF3_Machine8</vt:lpstr>
      <vt:lpstr>SVF3_Machine9</vt:lpstr>
      <vt:lpstr>tax_rate</vt:lpstr>
      <vt:lpstr>TN_Motor_Fuel_Tax</vt:lpstr>
      <vt:lpstr>transport_semitractor</vt:lpstr>
      <vt:lpstr>truck_labor_cost</vt:lpstr>
      <vt:lpstr>YUL_Machine1</vt:lpstr>
      <vt:lpstr>YUL_Machine11</vt:lpstr>
      <vt:lpstr>YUL_Machine13</vt:lpstr>
      <vt:lpstr>YUL_Machine14</vt:lpstr>
      <vt:lpstr>YUL_Machine15</vt:lpstr>
      <vt:lpstr>YUL_Machine16</vt:lpstr>
      <vt:lpstr>YUL_Machine17</vt:lpstr>
      <vt:lpstr>YUL_Machine3</vt:lpstr>
      <vt:lpstr>YUL_Machine4</vt:lpstr>
    </vt:vector>
  </TitlesOfParts>
  <Company>University of Tennessee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jlarson2</dc:creator>
  <cp:lastModifiedBy>English, Burton C</cp:lastModifiedBy>
  <cp:lastPrinted>2019-02-21T17:13:48Z</cp:lastPrinted>
  <dcterms:created xsi:type="dcterms:W3CDTF">2010-09-21T18:53:46Z</dcterms:created>
  <dcterms:modified xsi:type="dcterms:W3CDTF">2021-09-21T19:12:39Z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0x010100104BBB3AE571224A9F252BAC44A110D8</vt:lpwstr>
  </property>
</Properties>
</file>